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900" windowWidth="24615" windowHeight="11655"/>
  </bookViews>
  <sheets>
    <sheet name="Доходы 2022" sheetId="3" r:id="rId1"/>
  </sheets>
  <calcPr calcId="145621"/>
</workbook>
</file>

<file path=xl/calcChain.xml><?xml version="1.0" encoding="utf-8"?>
<calcChain xmlns="http://schemas.openxmlformats.org/spreadsheetml/2006/main">
  <c r="L88" i="3" l="1"/>
  <c r="M168" i="3"/>
  <c r="N168" i="3"/>
  <c r="L166" i="3"/>
  <c r="L159" i="3"/>
  <c r="K115" i="3" l="1"/>
  <c r="I115" i="3"/>
  <c r="H115" i="3"/>
  <c r="G131" i="3"/>
  <c r="G48" i="3"/>
  <c r="H48" i="3"/>
  <c r="L48" i="3"/>
  <c r="M48" i="3"/>
  <c r="I49" i="3"/>
  <c r="J49" i="3" s="1"/>
  <c r="M49" i="3"/>
  <c r="M50" i="3"/>
  <c r="N50" i="3"/>
  <c r="M51" i="3"/>
  <c r="N51" i="3"/>
  <c r="I52" i="3"/>
  <c r="M52" i="3"/>
  <c r="N52" i="3"/>
  <c r="K49" i="3" l="1"/>
  <c r="J48" i="3"/>
  <c r="I48" i="3"/>
  <c r="N65" i="3"/>
  <c r="M64" i="3"/>
  <c r="M65" i="3"/>
  <c r="L63" i="3"/>
  <c r="M63" i="3" s="1"/>
  <c r="L64" i="3"/>
  <c r="N64" i="3" s="1"/>
  <c r="N10" i="3"/>
  <c r="N11" i="3"/>
  <c r="N12" i="3"/>
  <c r="N13" i="3"/>
  <c r="N16" i="3"/>
  <c r="N17" i="3"/>
  <c r="N18" i="3"/>
  <c r="N19" i="3"/>
  <c r="N20" i="3"/>
  <c r="N21" i="3"/>
  <c r="N22" i="3"/>
  <c r="N23" i="3"/>
  <c r="N27" i="3"/>
  <c r="N28" i="3"/>
  <c r="N30" i="3"/>
  <c r="N32" i="3"/>
  <c r="N35" i="3"/>
  <c r="N37" i="3"/>
  <c r="N38" i="3"/>
  <c r="N39" i="3"/>
  <c r="N40" i="3"/>
  <c r="N43" i="3"/>
  <c r="N45" i="3"/>
  <c r="N46" i="3"/>
  <c r="N47" i="3"/>
  <c r="N53" i="3"/>
  <c r="N54" i="3"/>
  <c r="N60" i="3"/>
  <c r="N73" i="3"/>
  <c r="N74" i="3"/>
  <c r="N75" i="3"/>
  <c r="N76" i="3"/>
  <c r="N77" i="3"/>
  <c r="N79" i="3"/>
  <c r="N80" i="3"/>
  <c r="N93" i="3"/>
  <c r="N99" i="3"/>
  <c r="N113" i="3"/>
  <c r="N115" i="3"/>
  <c r="N119" i="3"/>
  <c r="N121" i="3"/>
  <c r="N125" i="3"/>
  <c r="N127" i="3"/>
  <c r="N142" i="3"/>
  <c r="N146" i="3"/>
  <c r="N157" i="3"/>
  <c r="N158" i="3"/>
  <c r="N164" i="3"/>
  <c r="N167" i="3"/>
  <c r="N169" i="3"/>
  <c r="M111" i="3"/>
  <c r="M113" i="3"/>
  <c r="M115" i="3"/>
  <c r="M117" i="3"/>
  <c r="M119" i="3"/>
  <c r="M121" i="3"/>
  <c r="M123" i="3"/>
  <c r="M125" i="3"/>
  <c r="M127" i="3"/>
  <c r="M129" i="3"/>
  <c r="M131" i="3"/>
  <c r="M134" i="3"/>
  <c r="M136" i="3"/>
  <c r="M138" i="3"/>
  <c r="M140" i="3"/>
  <c r="M142" i="3"/>
  <c r="M144" i="3"/>
  <c r="M146" i="3"/>
  <c r="M148" i="3"/>
  <c r="M150" i="3"/>
  <c r="M152" i="3"/>
  <c r="M154" i="3"/>
  <c r="M156" i="3"/>
  <c r="M157" i="3"/>
  <c r="M158" i="3"/>
  <c r="M160" i="3"/>
  <c r="M162" i="3"/>
  <c r="M164" i="3"/>
  <c r="M167" i="3"/>
  <c r="M169" i="3"/>
  <c r="M25" i="3"/>
  <c r="J78" i="3"/>
  <c r="J82" i="3"/>
  <c r="J81" i="3" s="1"/>
  <c r="J108" i="3"/>
  <c r="J107" i="3" s="1"/>
  <c r="J111" i="3"/>
  <c r="J110" i="3" s="1"/>
  <c r="J112" i="3"/>
  <c r="J114" i="3"/>
  <c r="J118" i="3"/>
  <c r="J120" i="3"/>
  <c r="J126" i="3"/>
  <c r="J141" i="3"/>
  <c r="J145" i="3"/>
  <c r="J163" i="3"/>
  <c r="K83" i="3"/>
  <c r="N83" i="3" s="1"/>
  <c r="K59" i="3"/>
  <c r="K36" i="3"/>
  <c r="N36" i="3" s="1"/>
  <c r="K48" i="3" l="1"/>
  <c r="N48" i="3" s="1"/>
  <c r="N49" i="3"/>
  <c r="N63" i="3"/>
  <c r="K108" i="3"/>
  <c r="N108" i="3" s="1"/>
  <c r="K111" i="3"/>
  <c r="L110" i="3"/>
  <c r="I110" i="3"/>
  <c r="H163" i="3"/>
  <c r="I163" i="3"/>
  <c r="K163" i="3"/>
  <c r="L163" i="3"/>
  <c r="G163" i="3"/>
  <c r="E70" i="3"/>
  <c r="E69" i="3" s="1"/>
  <c r="E72" i="3"/>
  <c r="F72" i="3" s="1"/>
  <c r="G72" i="3" s="1"/>
  <c r="H72" i="3" s="1"/>
  <c r="I72" i="3" s="1"/>
  <c r="J72" i="3" s="1"/>
  <c r="L161" i="3"/>
  <c r="D162" i="3"/>
  <c r="E162" i="3" s="1"/>
  <c r="F162" i="3" s="1"/>
  <c r="G162" i="3" s="1"/>
  <c r="D160" i="3"/>
  <c r="E160" i="3" s="1"/>
  <c r="F160" i="3" s="1"/>
  <c r="G160" i="3" s="1"/>
  <c r="H160" i="3" s="1"/>
  <c r="I160" i="3" s="1"/>
  <c r="D154" i="3"/>
  <c r="E154" i="3" s="1"/>
  <c r="D134" i="3"/>
  <c r="E134" i="3" s="1"/>
  <c r="F134" i="3" s="1"/>
  <c r="G134" i="3" s="1"/>
  <c r="H134" i="3" s="1"/>
  <c r="I134" i="3" s="1"/>
  <c r="D123" i="3"/>
  <c r="E123" i="3" s="1"/>
  <c r="L116" i="3"/>
  <c r="D117" i="3"/>
  <c r="D116" i="3" s="1"/>
  <c r="D131" i="3"/>
  <c r="E131" i="3" s="1"/>
  <c r="F131" i="3" s="1"/>
  <c r="H131" i="3" s="1"/>
  <c r="I131" i="3" s="1"/>
  <c r="J131" i="3" s="1"/>
  <c r="D90" i="3"/>
  <c r="D87" i="3"/>
  <c r="E82" i="3"/>
  <c r="E81" i="3" s="1"/>
  <c r="F82" i="3"/>
  <c r="F81" i="3" s="1"/>
  <c r="G82" i="3"/>
  <c r="G81" i="3" s="1"/>
  <c r="H82" i="3"/>
  <c r="H81" i="3" s="1"/>
  <c r="I82" i="3"/>
  <c r="I81" i="3" s="1"/>
  <c r="K82" i="3"/>
  <c r="K81" i="3" s="1"/>
  <c r="L82" i="3"/>
  <c r="D82" i="3"/>
  <c r="D81" i="3" s="1"/>
  <c r="D78" i="3" s="1"/>
  <c r="D69" i="3"/>
  <c r="D9" i="3"/>
  <c r="C159" i="3"/>
  <c r="M159" i="3" s="1"/>
  <c r="C153" i="3"/>
  <c r="C116" i="3"/>
  <c r="C82" i="3"/>
  <c r="C81" i="3" s="1"/>
  <c r="C78" i="3" s="1"/>
  <c r="C56" i="3"/>
  <c r="C69" i="3"/>
  <c r="C57" i="3"/>
  <c r="M37" i="3"/>
  <c r="M38" i="3"/>
  <c r="M39" i="3"/>
  <c r="C33" i="3"/>
  <c r="D159" i="3" l="1"/>
  <c r="E159" i="3" s="1"/>
  <c r="F159" i="3" s="1"/>
  <c r="G159" i="3" s="1"/>
  <c r="H159" i="3" s="1"/>
  <c r="I159" i="3" s="1"/>
  <c r="M163" i="3"/>
  <c r="N163" i="3"/>
  <c r="M116" i="3"/>
  <c r="M110" i="3"/>
  <c r="K110" i="3"/>
  <c r="N110" i="3" s="1"/>
  <c r="N111" i="3"/>
  <c r="J134" i="3"/>
  <c r="J133" i="3" s="1"/>
  <c r="K134" i="3"/>
  <c r="N134" i="3" s="1"/>
  <c r="L81" i="3"/>
  <c r="N81" i="3" s="1"/>
  <c r="N82" i="3"/>
  <c r="J160" i="3"/>
  <c r="K160" i="3" s="1"/>
  <c r="N160" i="3" s="1"/>
  <c r="K72" i="3"/>
  <c r="N72" i="3" s="1"/>
  <c r="J71" i="3"/>
  <c r="K131" i="3"/>
  <c r="N131" i="3" s="1"/>
  <c r="J130" i="3"/>
  <c r="J159" i="3"/>
  <c r="K159" i="3" s="1"/>
  <c r="N159" i="3" s="1"/>
  <c r="F154" i="3"/>
  <c r="F153" i="3" s="1"/>
  <c r="E153" i="3"/>
  <c r="D153" i="3"/>
  <c r="F70" i="3"/>
  <c r="E117" i="3"/>
  <c r="F117" i="3" s="1"/>
  <c r="G117" i="3" s="1"/>
  <c r="H162" i="3"/>
  <c r="G161" i="3"/>
  <c r="F161" i="3"/>
  <c r="E116" i="3"/>
  <c r="L124" i="3"/>
  <c r="L114" i="3"/>
  <c r="L112" i="3"/>
  <c r="L98" i="3"/>
  <c r="M80" i="3"/>
  <c r="M79" i="3"/>
  <c r="M83" i="3"/>
  <c r="M77" i="3"/>
  <c r="M60" i="3"/>
  <c r="L59" i="3"/>
  <c r="N59" i="3" s="1"/>
  <c r="M45" i="3"/>
  <c r="M46" i="3"/>
  <c r="M47" i="3"/>
  <c r="L151" i="3"/>
  <c r="N124" i="3" l="1"/>
  <c r="M124" i="3"/>
  <c r="M166" i="3"/>
  <c r="N166" i="3"/>
  <c r="G154" i="3"/>
  <c r="H154" i="3" s="1"/>
  <c r="F116" i="3"/>
  <c r="G70" i="3"/>
  <c r="F69" i="3"/>
  <c r="G153" i="3"/>
  <c r="H161" i="3"/>
  <c r="I162" i="3"/>
  <c r="J162" i="3" s="1"/>
  <c r="J161" i="3" s="1"/>
  <c r="H117" i="3"/>
  <c r="G116" i="3"/>
  <c r="M59" i="3"/>
  <c r="I124" i="3"/>
  <c r="I98" i="3"/>
  <c r="H145" i="3"/>
  <c r="H142" i="3"/>
  <c r="H141" i="3" s="1"/>
  <c r="H124" i="3"/>
  <c r="H127" i="3"/>
  <c r="H120" i="3"/>
  <c r="H118" i="3"/>
  <c r="H107" i="3"/>
  <c r="H99" i="3"/>
  <c r="H98" i="3" s="1"/>
  <c r="G106" i="3"/>
  <c r="H106" i="3" s="1"/>
  <c r="I106" i="3" s="1"/>
  <c r="J106" i="3" s="1"/>
  <c r="J105" i="3" s="1"/>
  <c r="J104" i="3" s="1"/>
  <c r="G11" i="3"/>
  <c r="G12" i="3"/>
  <c r="G13" i="3"/>
  <c r="G10" i="3"/>
  <c r="F142" i="3"/>
  <c r="D152" i="3"/>
  <c r="E152" i="3" s="1"/>
  <c r="D144" i="3"/>
  <c r="E144" i="3" s="1"/>
  <c r="F144" i="3" s="1"/>
  <c r="G144" i="3" s="1"/>
  <c r="H144" i="3" s="1"/>
  <c r="D156" i="3"/>
  <c r="E156" i="3" s="1"/>
  <c r="F156" i="3" s="1"/>
  <c r="G156" i="3" s="1"/>
  <c r="H156" i="3" s="1"/>
  <c r="D150" i="3"/>
  <c r="D149" i="3" s="1"/>
  <c r="D148" i="3"/>
  <c r="E148" i="3" s="1"/>
  <c r="F148" i="3" s="1"/>
  <c r="D142" i="3"/>
  <c r="D141" i="3" s="1"/>
  <c r="D140" i="3"/>
  <c r="E140" i="3" s="1"/>
  <c r="F140" i="3" s="1"/>
  <c r="G140" i="3" s="1"/>
  <c r="H140" i="3" s="1"/>
  <c r="D138" i="3"/>
  <c r="D136" i="3"/>
  <c r="E136" i="3" s="1"/>
  <c r="F136" i="3" s="1"/>
  <c r="G136" i="3" s="1"/>
  <c r="H136" i="3" s="1"/>
  <c r="D122" i="3"/>
  <c r="D129" i="3"/>
  <c r="E129" i="3" s="1"/>
  <c r="F129" i="3" s="1"/>
  <c r="G129" i="3" s="1"/>
  <c r="H129" i="3" s="1"/>
  <c r="D101" i="3"/>
  <c r="D96" i="3"/>
  <c r="E96" i="3" s="1"/>
  <c r="F96" i="3" s="1"/>
  <c r="G96" i="3" s="1"/>
  <c r="H96" i="3" s="1"/>
  <c r="E90" i="3"/>
  <c r="E87" i="3"/>
  <c r="F87" i="3" s="1"/>
  <c r="G87" i="3" s="1"/>
  <c r="H87" i="3" s="1"/>
  <c r="D68" i="3"/>
  <c r="D67" i="3" s="1"/>
  <c r="D66" i="3" s="1"/>
  <c r="D62" i="3"/>
  <c r="E62" i="3" s="1"/>
  <c r="F62" i="3" s="1"/>
  <c r="G62" i="3" s="1"/>
  <c r="H62" i="3" s="1"/>
  <c r="D58" i="3"/>
  <c r="D43" i="3"/>
  <c r="D44" i="3"/>
  <c r="E44" i="3" s="1"/>
  <c r="F44" i="3" s="1"/>
  <c r="G44" i="3" s="1"/>
  <c r="H44" i="3" s="1"/>
  <c r="I44" i="3" s="1"/>
  <c r="J44" i="3" s="1"/>
  <c r="K44" i="3" s="1"/>
  <c r="N44" i="3" s="1"/>
  <c r="D42" i="3"/>
  <c r="E42" i="3" s="1"/>
  <c r="F42" i="3" s="1"/>
  <c r="G42" i="3" s="1"/>
  <c r="H42" i="3" s="1"/>
  <c r="I42" i="3" s="1"/>
  <c r="J42" i="3" s="1"/>
  <c r="D34" i="3"/>
  <c r="E34" i="3" s="1"/>
  <c r="F34" i="3" s="1"/>
  <c r="G34" i="3" s="1"/>
  <c r="H34" i="3" s="1"/>
  <c r="I34" i="3" s="1"/>
  <c r="J34" i="3" s="1"/>
  <c r="D26" i="3"/>
  <c r="E26" i="3" s="1"/>
  <c r="D27" i="3"/>
  <c r="E27" i="3" s="1"/>
  <c r="F27" i="3" s="1"/>
  <c r="G27" i="3" s="1"/>
  <c r="H27" i="3" s="1"/>
  <c r="I27" i="3" s="1"/>
  <c r="J27" i="3" s="1"/>
  <c r="D28" i="3"/>
  <c r="E28" i="3" s="1"/>
  <c r="F28" i="3" s="1"/>
  <c r="G28" i="3" s="1"/>
  <c r="H28" i="3" s="1"/>
  <c r="I28" i="3" s="1"/>
  <c r="J28" i="3" s="1"/>
  <c r="D29" i="3"/>
  <c r="E29" i="3" s="1"/>
  <c r="F29" i="3" s="1"/>
  <c r="G29" i="3" s="1"/>
  <c r="H29" i="3" s="1"/>
  <c r="I29" i="3" s="1"/>
  <c r="J29" i="3" s="1"/>
  <c r="K29" i="3" s="1"/>
  <c r="N29" i="3" s="1"/>
  <c r="D30" i="3"/>
  <c r="E30" i="3" s="1"/>
  <c r="F30" i="3" s="1"/>
  <c r="G30" i="3" s="1"/>
  <c r="H30" i="3" s="1"/>
  <c r="I30" i="3" s="1"/>
  <c r="J30" i="3" s="1"/>
  <c r="D31" i="3"/>
  <c r="E31" i="3" s="1"/>
  <c r="F31" i="3" s="1"/>
  <c r="G31" i="3" s="1"/>
  <c r="H31" i="3" s="1"/>
  <c r="I31" i="3" s="1"/>
  <c r="J31" i="3" s="1"/>
  <c r="K31" i="3" s="1"/>
  <c r="N31" i="3" s="1"/>
  <c r="D25" i="3"/>
  <c r="E25" i="3" s="1"/>
  <c r="F25" i="3" s="1"/>
  <c r="G25" i="3" s="1"/>
  <c r="H25" i="3" s="1"/>
  <c r="I25" i="3" s="1"/>
  <c r="J25" i="3" s="1"/>
  <c r="K25" i="3" s="1"/>
  <c r="N25" i="3" s="1"/>
  <c r="D15" i="3"/>
  <c r="E15" i="3" s="1"/>
  <c r="F15" i="3" s="1"/>
  <c r="G15" i="3" s="1"/>
  <c r="H15" i="3" s="1"/>
  <c r="D8" i="3"/>
  <c r="D86" i="3"/>
  <c r="D85" i="3" s="1"/>
  <c r="D89" i="3"/>
  <c r="D88" i="3" s="1"/>
  <c r="D105" i="3"/>
  <c r="D104" i="3" s="1"/>
  <c r="D112" i="3"/>
  <c r="D114" i="3"/>
  <c r="D118" i="3"/>
  <c r="D120" i="3"/>
  <c r="D145" i="3"/>
  <c r="D161" i="3"/>
  <c r="C151" i="3"/>
  <c r="D151" i="3" s="1"/>
  <c r="L71" i="3"/>
  <c r="L24" i="3"/>
  <c r="C24" i="3"/>
  <c r="C8" i="3"/>
  <c r="M87" i="3"/>
  <c r="M151" i="3" l="1"/>
  <c r="K34" i="3"/>
  <c r="N34" i="3" s="1"/>
  <c r="J33" i="3"/>
  <c r="K42" i="3"/>
  <c r="N42" i="3" s="1"/>
  <c r="J41" i="3"/>
  <c r="G148" i="3"/>
  <c r="G147" i="3" s="1"/>
  <c r="E58" i="3"/>
  <c r="E57" i="3" s="1"/>
  <c r="D56" i="3"/>
  <c r="D55" i="3" s="1"/>
  <c r="H70" i="3"/>
  <c r="G69" i="3"/>
  <c r="F90" i="3"/>
  <c r="G90" i="3" s="1"/>
  <c r="I154" i="3"/>
  <c r="J154" i="3" s="1"/>
  <c r="J153" i="3" s="1"/>
  <c r="H153" i="3"/>
  <c r="I161" i="3"/>
  <c r="I117" i="3"/>
  <c r="J117" i="3" s="1"/>
  <c r="J116" i="3" s="1"/>
  <c r="H116" i="3"/>
  <c r="D155" i="3"/>
  <c r="D139" i="3"/>
  <c r="D135" i="3"/>
  <c r="D147" i="3"/>
  <c r="D143" i="3"/>
  <c r="D128" i="3"/>
  <c r="D95" i="3"/>
  <c r="D94" i="3" s="1"/>
  <c r="D61" i="3"/>
  <c r="F123" i="3"/>
  <c r="G123" i="3" s="1"/>
  <c r="H123" i="3" s="1"/>
  <c r="H122" i="3" s="1"/>
  <c r="E150" i="3"/>
  <c r="F150" i="3" s="1"/>
  <c r="D57" i="3"/>
  <c r="E68" i="3"/>
  <c r="F68" i="3" s="1"/>
  <c r="G68" i="3" s="1"/>
  <c r="H68" i="3" s="1"/>
  <c r="H67" i="3" s="1"/>
  <c r="D41" i="3"/>
  <c r="I156" i="3"/>
  <c r="J156" i="3" s="1"/>
  <c r="H155" i="3"/>
  <c r="H112" i="3"/>
  <c r="K106" i="3"/>
  <c r="N106" i="3" s="1"/>
  <c r="I105" i="3"/>
  <c r="D133" i="3"/>
  <c r="H61" i="3"/>
  <c r="I62" i="3"/>
  <c r="J62" i="3" s="1"/>
  <c r="E151" i="3"/>
  <c r="F151" i="3" s="1"/>
  <c r="F152" i="3"/>
  <c r="G152" i="3" s="1"/>
  <c r="H95" i="3"/>
  <c r="H94" i="3" s="1"/>
  <c r="I96" i="3"/>
  <c r="J96" i="3" s="1"/>
  <c r="D130" i="3"/>
  <c r="I129" i="3"/>
  <c r="J129" i="3" s="1"/>
  <c r="J128" i="3" s="1"/>
  <c r="H128" i="3"/>
  <c r="H135" i="3"/>
  <c r="I136" i="3"/>
  <c r="H114" i="3"/>
  <c r="H139" i="3"/>
  <c r="I140" i="3"/>
  <c r="J140" i="3" s="1"/>
  <c r="J139" i="3" s="1"/>
  <c r="I87" i="3"/>
  <c r="J87" i="3" s="1"/>
  <c r="H86" i="3"/>
  <c r="H85" i="3" s="1"/>
  <c r="D100" i="3"/>
  <c r="D97" i="3" s="1"/>
  <c r="E101" i="3"/>
  <c r="F101" i="3" s="1"/>
  <c r="E138" i="3"/>
  <c r="F138" i="3" s="1"/>
  <c r="G138" i="3" s="1"/>
  <c r="H138" i="3" s="1"/>
  <c r="D137" i="3"/>
  <c r="H143" i="3"/>
  <c r="I144" i="3"/>
  <c r="I107" i="3"/>
  <c r="H105" i="3"/>
  <c r="H104" i="3" s="1"/>
  <c r="H14" i="3"/>
  <c r="I15" i="3"/>
  <c r="J15" i="3" s="1"/>
  <c r="D14" i="3"/>
  <c r="D33" i="3"/>
  <c r="I41" i="3"/>
  <c r="D24" i="3"/>
  <c r="D7" i="3" s="1"/>
  <c r="E71" i="3"/>
  <c r="D71" i="3"/>
  <c r="H41" i="3"/>
  <c r="F33" i="3"/>
  <c r="E24" i="3"/>
  <c r="F26" i="3"/>
  <c r="E33" i="3"/>
  <c r="E9" i="3"/>
  <c r="F9" i="3" s="1"/>
  <c r="G9" i="3" s="1"/>
  <c r="H9" i="3" s="1"/>
  <c r="D84" i="3"/>
  <c r="G126" i="3"/>
  <c r="H126" i="3" s="1"/>
  <c r="I126" i="3" s="1"/>
  <c r="G155" i="3"/>
  <c r="G145" i="3"/>
  <c r="G143" i="3"/>
  <c r="G141" i="3"/>
  <c r="G139" i="3"/>
  <c r="G135" i="3"/>
  <c r="G128" i="3"/>
  <c r="G120" i="3"/>
  <c r="G118" i="3"/>
  <c r="G114" i="3"/>
  <c r="G112" i="3"/>
  <c r="G107" i="3"/>
  <c r="G105" i="3"/>
  <c r="G95" i="3"/>
  <c r="G94" i="3" s="1"/>
  <c r="G86" i="3"/>
  <c r="G85" i="3" s="1"/>
  <c r="G78" i="3"/>
  <c r="H78" i="3" s="1"/>
  <c r="I78" i="3" s="1"/>
  <c r="G61" i="3"/>
  <c r="G41" i="3"/>
  <c r="G14" i="3"/>
  <c r="F105" i="3"/>
  <c r="F155" i="3"/>
  <c r="F147" i="3"/>
  <c r="F145" i="3"/>
  <c r="F143" i="3"/>
  <c r="F141" i="3"/>
  <c r="F139" i="3"/>
  <c r="F135" i="3"/>
  <c r="F128" i="3"/>
  <c r="F120" i="3"/>
  <c r="F118" i="3"/>
  <c r="F114" i="3"/>
  <c r="F112" i="3"/>
  <c r="F107" i="3"/>
  <c r="F95" i="3"/>
  <c r="F94" i="3" s="1"/>
  <c r="F86" i="3"/>
  <c r="F85" i="3" s="1"/>
  <c r="F78" i="3"/>
  <c r="F61" i="3"/>
  <c r="F41" i="3"/>
  <c r="F14" i="3"/>
  <c r="E107" i="3"/>
  <c r="E89" i="3"/>
  <c r="E88" i="3" s="1"/>
  <c r="E78" i="3"/>
  <c r="E161" i="3"/>
  <c r="E155" i="3"/>
  <c r="E147" i="3"/>
  <c r="E145" i="3"/>
  <c r="E143" i="3"/>
  <c r="E141" i="3"/>
  <c r="E139" i="3"/>
  <c r="E135" i="3"/>
  <c r="E128" i="3"/>
  <c r="E120" i="3"/>
  <c r="E118" i="3"/>
  <c r="E114" i="3"/>
  <c r="E112" i="3"/>
  <c r="E105" i="3"/>
  <c r="E95" i="3"/>
  <c r="E94" i="3" s="1"/>
  <c r="E86" i="3"/>
  <c r="E85" i="3" s="1"/>
  <c r="E61" i="3"/>
  <c r="E41" i="3"/>
  <c r="E14" i="3"/>
  <c r="F89" i="3" l="1"/>
  <c r="F88" i="3" s="1"/>
  <c r="J136" i="3"/>
  <c r="J135" i="3" s="1"/>
  <c r="K136" i="3"/>
  <c r="N136" i="3" s="1"/>
  <c r="D109" i="3"/>
  <c r="F67" i="3"/>
  <c r="F66" i="3" s="1"/>
  <c r="J144" i="3"/>
  <c r="J143" i="3" s="1"/>
  <c r="K144" i="3"/>
  <c r="K15" i="3"/>
  <c r="N15" i="3" s="1"/>
  <c r="J14" i="3"/>
  <c r="K87" i="3"/>
  <c r="N87" i="3" s="1"/>
  <c r="J86" i="3"/>
  <c r="J85" i="3" s="1"/>
  <c r="J155" i="3"/>
  <c r="K156" i="3"/>
  <c r="N156" i="3" s="1"/>
  <c r="J61" i="3"/>
  <c r="K62" i="3"/>
  <c r="N62" i="3" s="1"/>
  <c r="E100" i="3"/>
  <c r="E97" i="3" s="1"/>
  <c r="E149" i="3"/>
  <c r="J95" i="3"/>
  <c r="J94" i="3" s="1"/>
  <c r="K96" i="3"/>
  <c r="H148" i="3"/>
  <c r="H8" i="3"/>
  <c r="I9" i="3"/>
  <c r="J9" i="3" s="1"/>
  <c r="F58" i="3"/>
  <c r="E56" i="3"/>
  <c r="E55" i="3" s="1"/>
  <c r="I70" i="3"/>
  <c r="H69" i="3"/>
  <c r="H66" i="3" s="1"/>
  <c r="G101" i="3"/>
  <c r="H101" i="3" s="1"/>
  <c r="H90" i="3"/>
  <c r="G89" i="3"/>
  <c r="G88" i="3" s="1"/>
  <c r="G84" i="3" s="1"/>
  <c r="G150" i="3"/>
  <c r="G149" i="3" s="1"/>
  <c r="I153" i="3"/>
  <c r="K162" i="3"/>
  <c r="I116" i="3"/>
  <c r="G122" i="3"/>
  <c r="F130" i="3"/>
  <c r="E137" i="3"/>
  <c r="G133" i="3"/>
  <c r="F149" i="3"/>
  <c r="F100" i="3"/>
  <c r="F97" i="3" s="1"/>
  <c r="E122" i="3"/>
  <c r="G67" i="3"/>
  <c r="G66" i="3" s="1"/>
  <c r="G130" i="3"/>
  <c r="I123" i="3"/>
  <c r="J123" i="3" s="1"/>
  <c r="J122" i="3" s="1"/>
  <c r="J109" i="3" s="1"/>
  <c r="F122" i="3"/>
  <c r="E130" i="3"/>
  <c r="I104" i="3"/>
  <c r="D132" i="3"/>
  <c r="I68" i="3"/>
  <c r="E67" i="3"/>
  <c r="E66" i="3" s="1"/>
  <c r="H133" i="3"/>
  <c r="I61" i="3"/>
  <c r="E133" i="3"/>
  <c r="G137" i="3"/>
  <c r="I139" i="3"/>
  <c r="I114" i="3"/>
  <c r="I95" i="3"/>
  <c r="I94" i="3" s="1"/>
  <c r="I143" i="3"/>
  <c r="I135" i="3"/>
  <c r="H152" i="3"/>
  <c r="I152" i="3" s="1"/>
  <c r="J152" i="3" s="1"/>
  <c r="J151" i="3" s="1"/>
  <c r="G151" i="3"/>
  <c r="I112" i="3"/>
  <c r="F133" i="3"/>
  <c r="H137" i="3"/>
  <c r="I138" i="3"/>
  <c r="J138" i="3" s="1"/>
  <c r="I86" i="3"/>
  <c r="I85" i="3" s="1"/>
  <c r="F137" i="3"/>
  <c r="I128" i="3"/>
  <c r="H130" i="3"/>
  <c r="H109" i="3" s="1"/>
  <c r="I155" i="3"/>
  <c r="I14" i="3"/>
  <c r="E8" i="3"/>
  <c r="E7" i="3" s="1"/>
  <c r="F8" i="3"/>
  <c r="G33" i="3"/>
  <c r="F71" i="3"/>
  <c r="F24" i="3"/>
  <c r="G26" i="3"/>
  <c r="G8" i="3"/>
  <c r="E104" i="3"/>
  <c r="F104" i="3"/>
  <c r="G104" i="3"/>
  <c r="F84" i="3"/>
  <c r="E84" i="3"/>
  <c r="M9" i="3"/>
  <c r="M10" i="3"/>
  <c r="M11" i="3"/>
  <c r="M12" i="3"/>
  <c r="M13" i="3"/>
  <c r="M15" i="3"/>
  <c r="M16" i="3"/>
  <c r="M17" i="3"/>
  <c r="M18" i="3"/>
  <c r="M19" i="3"/>
  <c r="M20" i="3"/>
  <c r="M21" i="3"/>
  <c r="M22" i="3"/>
  <c r="M23" i="3"/>
  <c r="M26" i="3"/>
  <c r="M27" i="3"/>
  <c r="M28" i="3"/>
  <c r="M29" i="3"/>
  <c r="M30" i="3"/>
  <c r="M31" i="3"/>
  <c r="M32" i="3"/>
  <c r="M34" i="3"/>
  <c r="M35" i="3"/>
  <c r="M40" i="3"/>
  <c r="M42" i="3"/>
  <c r="M43" i="3"/>
  <c r="M44" i="3"/>
  <c r="M53" i="3"/>
  <c r="M54" i="3"/>
  <c r="M58" i="3"/>
  <c r="M62" i="3"/>
  <c r="M68" i="3"/>
  <c r="M73" i="3"/>
  <c r="M74" i="3"/>
  <c r="M76" i="3"/>
  <c r="M90" i="3"/>
  <c r="M93" i="3"/>
  <c r="M96" i="3"/>
  <c r="M98" i="3"/>
  <c r="M99" i="3"/>
  <c r="M101" i="3"/>
  <c r="M106" i="3"/>
  <c r="M108" i="3"/>
  <c r="I101" i="3" l="1"/>
  <c r="J101" i="3" s="1"/>
  <c r="K101" i="3" s="1"/>
  <c r="N101" i="3" s="1"/>
  <c r="H100" i="3"/>
  <c r="H97" i="3" s="1"/>
  <c r="G100" i="3"/>
  <c r="G97" i="3" s="1"/>
  <c r="E132" i="3"/>
  <c r="K95" i="3"/>
  <c r="K94" i="3" s="1"/>
  <c r="N96" i="3"/>
  <c r="K143" i="3"/>
  <c r="N144" i="3"/>
  <c r="K161" i="3"/>
  <c r="N161" i="3" s="1"/>
  <c r="N162" i="3"/>
  <c r="I8" i="3"/>
  <c r="J100" i="3"/>
  <c r="J97" i="3" s="1"/>
  <c r="I67" i="3"/>
  <c r="J68" i="3"/>
  <c r="J67" i="3" s="1"/>
  <c r="J8" i="3"/>
  <c r="K9" i="3"/>
  <c r="N9" i="3" s="1"/>
  <c r="I69" i="3"/>
  <c r="J70" i="3"/>
  <c r="J137" i="3"/>
  <c r="K138" i="3"/>
  <c r="N138" i="3" s="1"/>
  <c r="F132" i="3"/>
  <c r="I148" i="3"/>
  <c r="K148" i="3" s="1"/>
  <c r="N148" i="3" s="1"/>
  <c r="H147" i="3"/>
  <c r="G58" i="3"/>
  <c r="F56" i="3"/>
  <c r="F55" i="3" s="1"/>
  <c r="F7" i="3" s="1"/>
  <c r="F57" i="3"/>
  <c r="D103" i="3"/>
  <c r="D102" i="3" s="1"/>
  <c r="D6" i="3" s="1"/>
  <c r="H150" i="3"/>
  <c r="I150" i="3" s="1"/>
  <c r="J150" i="3" s="1"/>
  <c r="J149" i="3" s="1"/>
  <c r="I90" i="3"/>
  <c r="J90" i="3" s="1"/>
  <c r="H89" i="3"/>
  <c r="G132" i="3"/>
  <c r="F109" i="3"/>
  <c r="E109" i="3"/>
  <c r="G109" i="3"/>
  <c r="K154" i="3"/>
  <c r="N154" i="3" s="1"/>
  <c r="K117" i="3"/>
  <c r="I122" i="3"/>
  <c r="H151" i="3"/>
  <c r="I130" i="3"/>
  <c r="K140" i="3"/>
  <c r="N140" i="3" s="1"/>
  <c r="K123" i="3"/>
  <c r="N123" i="3" s="1"/>
  <c r="K129" i="3"/>
  <c r="N129" i="3" s="1"/>
  <c r="I137" i="3"/>
  <c r="I133" i="3"/>
  <c r="K114" i="3"/>
  <c r="N114" i="3" s="1"/>
  <c r="H33" i="3"/>
  <c r="I33" i="3" s="1"/>
  <c r="G71" i="3"/>
  <c r="G24" i="3"/>
  <c r="H26" i="3"/>
  <c r="L67" i="3"/>
  <c r="L107" i="3"/>
  <c r="L92" i="3"/>
  <c r="L145" i="3"/>
  <c r="K145" i="3"/>
  <c r="L139" i="3"/>
  <c r="L149" i="3"/>
  <c r="L126" i="3"/>
  <c r="K126" i="3"/>
  <c r="L120" i="3"/>
  <c r="K98" i="3"/>
  <c r="N98" i="3" s="1"/>
  <c r="K78" i="3"/>
  <c r="C161" i="3"/>
  <c r="M161" i="3" s="1"/>
  <c r="C149" i="3"/>
  <c r="C155" i="3"/>
  <c r="C145" i="3"/>
  <c r="C143" i="3"/>
  <c r="C120" i="3"/>
  <c r="C112" i="3"/>
  <c r="M112" i="3" s="1"/>
  <c r="C100" i="3"/>
  <c r="C97" i="3" s="1"/>
  <c r="C95" i="3"/>
  <c r="C94" i="3" s="1"/>
  <c r="C89" i="3"/>
  <c r="C88" i="3" s="1"/>
  <c r="C86" i="3"/>
  <c r="C85" i="3" s="1"/>
  <c r="C67" i="3"/>
  <c r="C66" i="3" s="1"/>
  <c r="C61" i="3"/>
  <c r="C55" i="3"/>
  <c r="G7" i="3" l="1"/>
  <c r="E103" i="3"/>
  <c r="E102" i="3" s="1"/>
  <c r="M126" i="3"/>
  <c r="N126" i="3"/>
  <c r="M145" i="3"/>
  <c r="N145" i="3"/>
  <c r="I100" i="3"/>
  <c r="I97" i="3" s="1"/>
  <c r="M149" i="3"/>
  <c r="I109" i="3"/>
  <c r="N120" i="3"/>
  <c r="M120" i="3"/>
  <c r="K116" i="3"/>
  <c r="N116" i="3" s="1"/>
  <c r="N117" i="3"/>
  <c r="F103" i="3"/>
  <c r="F102" i="3" s="1"/>
  <c r="F6" i="3" s="1"/>
  <c r="J89" i="3"/>
  <c r="J88" i="3" s="1"/>
  <c r="J84" i="3" s="1"/>
  <c r="K90" i="3"/>
  <c r="N90" i="3" s="1"/>
  <c r="I66" i="3"/>
  <c r="J69" i="3"/>
  <c r="K70" i="3"/>
  <c r="N70" i="3" s="1"/>
  <c r="I147" i="3"/>
  <c r="J148" i="3"/>
  <c r="J66" i="3"/>
  <c r="K68" i="3"/>
  <c r="N68" i="3" s="1"/>
  <c r="H58" i="3"/>
  <c r="G56" i="3"/>
  <c r="G55" i="3" s="1"/>
  <c r="G57" i="3"/>
  <c r="G103" i="3"/>
  <c r="G102" i="3" s="1"/>
  <c r="H149" i="3"/>
  <c r="H132" i="3" s="1"/>
  <c r="I89" i="3"/>
  <c r="I88" i="3" s="1"/>
  <c r="I84" i="3" s="1"/>
  <c r="K153" i="3"/>
  <c r="L153" i="3"/>
  <c r="M153" i="3" s="1"/>
  <c r="K61" i="3"/>
  <c r="K139" i="3"/>
  <c r="N139" i="3" s="1"/>
  <c r="I151" i="3"/>
  <c r="K112" i="3"/>
  <c r="N112" i="3" s="1"/>
  <c r="H71" i="3"/>
  <c r="H24" i="3"/>
  <c r="I26" i="3"/>
  <c r="J26" i="3" s="1"/>
  <c r="J24" i="3" s="1"/>
  <c r="E6" i="3"/>
  <c r="M92" i="3"/>
  <c r="M67" i="3"/>
  <c r="M107" i="3"/>
  <c r="L165" i="3"/>
  <c r="L155" i="3"/>
  <c r="L100" i="3"/>
  <c r="M82" i="3"/>
  <c r="L61" i="3"/>
  <c r="N61" i="3" s="1"/>
  <c r="L14" i="3"/>
  <c r="L8" i="3"/>
  <c r="L41" i="3"/>
  <c r="L57" i="3"/>
  <c r="L85" i="3"/>
  <c r="L86" i="3"/>
  <c r="L89" i="3"/>
  <c r="L91" i="3"/>
  <c r="L95" i="3"/>
  <c r="L105" i="3"/>
  <c r="L118" i="3"/>
  <c r="L122" i="3"/>
  <c r="L128" i="3"/>
  <c r="L130" i="3"/>
  <c r="L133" i="3"/>
  <c r="L135" i="3"/>
  <c r="L137" i="3"/>
  <c r="L141" i="3"/>
  <c r="L143" i="3"/>
  <c r="L147" i="3"/>
  <c r="M147" i="3" l="1"/>
  <c r="M165" i="3"/>
  <c r="N165" i="3"/>
  <c r="M143" i="3"/>
  <c r="N143" i="3"/>
  <c r="N153" i="3"/>
  <c r="M122" i="3"/>
  <c r="N100" i="3"/>
  <c r="M155" i="3"/>
  <c r="L104" i="3"/>
  <c r="N105" i="3"/>
  <c r="L94" i="3"/>
  <c r="N94" i="3" s="1"/>
  <c r="N95" i="3"/>
  <c r="K69" i="3"/>
  <c r="J147" i="3"/>
  <c r="J132" i="3" s="1"/>
  <c r="J103" i="3" s="1"/>
  <c r="J102" i="3" s="1"/>
  <c r="H56" i="3"/>
  <c r="H55" i="3" s="1"/>
  <c r="I58" i="3"/>
  <c r="J58" i="3" s="1"/>
  <c r="H57" i="3"/>
  <c r="L132" i="3"/>
  <c r="L109" i="3"/>
  <c r="G6" i="3"/>
  <c r="I149" i="3"/>
  <c r="I132" i="3" s="1"/>
  <c r="I103" i="3" s="1"/>
  <c r="I102" i="3" s="1"/>
  <c r="H103" i="3"/>
  <c r="H102" i="3" s="1"/>
  <c r="K100" i="3"/>
  <c r="K97" i="3" s="1"/>
  <c r="K152" i="3"/>
  <c r="N152" i="3" s="1"/>
  <c r="I71" i="3"/>
  <c r="I24" i="3"/>
  <c r="L33" i="3"/>
  <c r="M36" i="3"/>
  <c r="M91" i="3"/>
  <c r="M100" i="3"/>
  <c r="L97" i="3"/>
  <c r="N97" i="3" s="1"/>
  <c r="M95" i="3"/>
  <c r="M85" i="3"/>
  <c r="M89" i="3"/>
  <c r="M75" i="3"/>
  <c r="M86" i="3"/>
  <c r="M61" i="3"/>
  <c r="K155" i="3"/>
  <c r="N155" i="3" s="1"/>
  <c r="K141" i="3"/>
  <c r="N141" i="3" s="1"/>
  <c r="K122" i="3"/>
  <c r="N122" i="3" s="1"/>
  <c r="K107" i="3"/>
  <c r="N107" i="3" s="1"/>
  <c r="K89" i="3"/>
  <c r="N89" i="3" s="1"/>
  <c r="K92" i="3"/>
  <c r="N92" i="3" s="1"/>
  <c r="K85" i="3"/>
  <c r="N85" i="3" s="1"/>
  <c r="K86" i="3"/>
  <c r="N86" i="3" s="1"/>
  <c r="K8" i="3"/>
  <c r="N8" i="3" s="1"/>
  <c r="K14" i="3"/>
  <c r="N14" i="3" s="1"/>
  <c r="K41" i="3"/>
  <c r="N41" i="3" s="1"/>
  <c r="K67" i="3"/>
  <c r="N67" i="3" s="1"/>
  <c r="K105" i="3"/>
  <c r="K118" i="3"/>
  <c r="N118" i="3" s="1"/>
  <c r="K128" i="3"/>
  <c r="N128" i="3" s="1"/>
  <c r="K130" i="3"/>
  <c r="K109" i="3" s="1"/>
  <c r="K133" i="3"/>
  <c r="N133" i="3" s="1"/>
  <c r="K135" i="3"/>
  <c r="N135" i="3" s="1"/>
  <c r="K137" i="3"/>
  <c r="N137" i="3" s="1"/>
  <c r="K147" i="3"/>
  <c r="N147" i="3" s="1"/>
  <c r="C147" i="3"/>
  <c r="C141" i="3"/>
  <c r="M141" i="3" s="1"/>
  <c r="C139" i="3"/>
  <c r="M139" i="3" s="1"/>
  <c r="C137" i="3"/>
  <c r="M137" i="3" s="1"/>
  <c r="C135" i="3"/>
  <c r="M135" i="3" s="1"/>
  <c r="C133" i="3"/>
  <c r="M133" i="3" s="1"/>
  <c r="C130" i="3"/>
  <c r="M130" i="3" s="1"/>
  <c r="C128" i="3"/>
  <c r="M128" i="3" s="1"/>
  <c r="C122" i="3"/>
  <c r="C118" i="3"/>
  <c r="M118" i="3" s="1"/>
  <c r="C114" i="3"/>
  <c r="M114" i="3" s="1"/>
  <c r="C105" i="3"/>
  <c r="C104" i="3" s="1"/>
  <c r="N33" i="3" l="1"/>
  <c r="N109" i="3"/>
  <c r="M132" i="3"/>
  <c r="N130" i="3"/>
  <c r="L103" i="3"/>
  <c r="L102" i="3" s="1"/>
  <c r="J56" i="3"/>
  <c r="J55" i="3" s="1"/>
  <c r="J7" i="3" s="1"/>
  <c r="J6" i="3" s="1"/>
  <c r="J57" i="3"/>
  <c r="K58" i="3"/>
  <c r="N58" i="3" s="1"/>
  <c r="L69" i="3"/>
  <c r="L56" i="3" s="1"/>
  <c r="M70" i="3"/>
  <c r="I56" i="3"/>
  <c r="I55" i="3" s="1"/>
  <c r="I7" i="3" s="1"/>
  <c r="I57" i="3"/>
  <c r="K150" i="3"/>
  <c r="N150" i="3" s="1"/>
  <c r="C109" i="3"/>
  <c r="L78" i="3"/>
  <c r="N78" i="3" s="1"/>
  <c r="M81" i="3"/>
  <c r="K66" i="3"/>
  <c r="K151" i="3"/>
  <c r="N151" i="3" s="1"/>
  <c r="K26" i="3"/>
  <c r="N26" i="3" s="1"/>
  <c r="K33" i="3"/>
  <c r="C132" i="3"/>
  <c r="K104" i="3"/>
  <c r="N104" i="3" s="1"/>
  <c r="K91" i="3"/>
  <c r="N91" i="3" s="1"/>
  <c r="M104" i="3"/>
  <c r="L84" i="3"/>
  <c r="M88" i="3"/>
  <c r="M105" i="3"/>
  <c r="M94" i="3"/>
  <c r="M97" i="3"/>
  <c r="C103" i="3" l="1"/>
  <c r="C102" i="3" s="1"/>
  <c r="N69" i="3"/>
  <c r="M109" i="3"/>
  <c r="K56" i="3"/>
  <c r="K55" i="3" s="1"/>
  <c r="K57" i="3"/>
  <c r="N57" i="3" s="1"/>
  <c r="L66" i="3"/>
  <c r="M66" i="3" s="1"/>
  <c r="M69" i="3"/>
  <c r="K149" i="3"/>
  <c r="N149" i="3" s="1"/>
  <c r="M78" i="3"/>
  <c r="K24" i="3"/>
  <c r="N24" i="3" s="1"/>
  <c r="K88" i="3"/>
  <c r="K84" i="3" l="1"/>
  <c r="N84" i="3" s="1"/>
  <c r="N88" i="3"/>
  <c r="N66" i="3"/>
  <c r="L55" i="3"/>
  <c r="L7" i="3" s="1"/>
  <c r="N56" i="3"/>
  <c r="K132" i="3"/>
  <c r="M103" i="3"/>
  <c r="M102" i="3"/>
  <c r="C84" i="3"/>
  <c r="M84" i="3" s="1"/>
  <c r="M57" i="3"/>
  <c r="C41" i="3"/>
  <c r="M41" i="3" s="1"/>
  <c r="M33" i="3"/>
  <c r="M24" i="3"/>
  <c r="C14" i="3"/>
  <c r="M14" i="3" l="1"/>
  <c r="K103" i="3"/>
  <c r="N103" i="3" s="1"/>
  <c r="N132" i="3"/>
  <c r="N55" i="3"/>
  <c r="K71" i="3"/>
  <c r="M8" i="3"/>
  <c r="C71" i="3"/>
  <c r="C7" i="3" s="1"/>
  <c r="M72" i="3"/>
  <c r="K7" i="3" l="1"/>
  <c r="N7" i="3" s="1"/>
  <c r="N71" i="3"/>
  <c r="M71" i="3"/>
  <c r="C6" i="3" l="1"/>
  <c r="K102" i="3" l="1"/>
  <c r="K6" i="3" l="1"/>
  <c r="N102" i="3"/>
  <c r="H88" i="3"/>
  <c r="H84" i="3" s="1"/>
  <c r="H7" i="3" s="1"/>
  <c r="M56" i="3"/>
  <c r="M55" i="3"/>
  <c r="M7" i="3"/>
  <c r="I6" i="3" l="1"/>
  <c r="H6" i="3"/>
  <c r="L6" i="3"/>
  <c r="M6" i="3" s="1"/>
  <c r="N6" i="3" l="1"/>
</calcChain>
</file>

<file path=xl/sharedStrings.xml><?xml version="1.0" encoding="utf-8"?>
<sst xmlns="http://schemas.openxmlformats.org/spreadsheetml/2006/main" count="379" uniqueCount="363">
  <si>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</si>
  <si>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</si>
  <si>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</si>
  <si>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</si>
  <si>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</si>
  <si>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</si>
  <si>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</si>
  <si>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</si>
  <si>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</si>
  <si>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</si>
  <si>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</si>
  <si>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</si>
  <si>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</si>
  <si>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</si>
  <si>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</si>
  <si>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</si>
  <si>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</si>
  <si>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</si>
  <si>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</si>
  <si>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</si>
  <si>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</si>
  <si>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</si>
  <si>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</si>
  <si>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</si>
  <si>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</si>
  <si>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</si>
  <si>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</si>
  <si>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</si>
  <si>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</si>
  <si>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</si>
  <si>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</si>
  <si>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</si>
  <si>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</si>
  <si>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</si>
  <si>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</si>
  <si>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</si>
  <si>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</si>
  <si>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</si>
  <si>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</si>
  <si>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</si>
  <si>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</si>
  <si>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</si>
  <si>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</si>
  <si>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</si>
  <si>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</si>
  <si>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</si>
  <si>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</si>
  <si>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</si>
  <si>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</si>
  <si>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</si>
  <si>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</si>
  <si>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</si>
  <si>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</si>
  <si>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000 1 06 01020 04 0000 110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</si>
  <si>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</si>
  <si>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</si>
  <si>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</si>
  <si>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</si>
  <si>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округов</t>
  </si>
  <si>
    <t>000 1 06 06032 04 0000 110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</si>
  <si>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</si>
  <si>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</si>
  <si>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округов</t>
  </si>
  <si>
    <t>000 1 06 06042 04 0000 110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</si>
  <si>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</si>
  <si>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</si>
  <si>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</si>
  <si>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</si>
  <si>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</si>
  <si>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</si>
  <si>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</si>
  <si>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</si>
  <si>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разрешения на установку рекламной конструкции</t>
  </si>
  <si>
    <t>000 1 08 07150 01 0000 110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</si>
  <si>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</si>
  <si>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000 1 08 07170 01 0000 110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</si>
  <si>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</si>
  <si>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</si>
  <si>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</si>
  <si>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</si>
  <si>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Налоги на имущество</t>
  </si>
  <si>
    <t>000 1 09 04000 00 0000 110</t>
  </si>
  <si>
    <t xml:space="preserve">  Земельный налог (по обязательствам, возникшим до 1 января 2006 года)</t>
  </si>
  <si>
    <t>000 1 09 04050 00 0000 110</t>
  </si>
  <si>
    <t xml:space="preserve">  Земельный налог (по обязательствам, возникшим до 1 января 2006 года), мобилизуемый на территориях городских округов</t>
  </si>
  <si>
    <t>000 1 09 04052 04 0000 110</t>
  </si>
  <si>
    <t xml:space="preserve">  Прочие налоги и сборы (по отмененным местным налогам и сборам)</t>
  </si>
  <si>
    <t>000 1 09 07000 00 0000 110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</si>
  <si>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</si>
  <si>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</si>
  <si>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</si>
  <si>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000 1 09 07032 04 0000 110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</si>
  <si>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</si>
  <si>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</si>
  <si>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</si>
  <si>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</si>
  <si>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</si>
  <si>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</si>
  <si>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</si>
  <si>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</si>
  <si>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</si>
  <si>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</si>
  <si>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</si>
  <si>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</si>
  <si>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000 1 11 09040 00 0000 120</t>
  </si>
  <si>
    <t>000 1 11 09044 04 0000 120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</si>
  <si>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</si>
  <si>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</si>
  <si>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</si>
  <si>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</si>
  <si>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</si>
  <si>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</si>
  <si>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</si>
  <si>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</si>
  <si>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</si>
  <si>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</si>
  <si>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</si>
  <si>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</si>
  <si>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твердых коммунальных отходов</t>
  </si>
  <si>
    <t>000 1 12 01042 01 0000 120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</si>
  <si>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</si>
  <si>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</si>
  <si>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</si>
  <si>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</si>
  <si>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</si>
  <si>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</si>
  <si>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городских округов</t>
  </si>
  <si>
    <t>000 1 13 02994 04 0000 130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</si>
  <si>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</si>
  <si>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</si>
  <si>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</si>
  <si>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</si>
  <si>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</si>
  <si>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</si>
  <si>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 xml:space="preserve">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</si>
  <si>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</si>
  <si>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</si>
  <si>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</si>
  <si>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</si>
  <si>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</si>
  <si>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</si>
  <si>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</si>
  <si>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</si>
  <si>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</si>
  <si>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</si>
  <si>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</si>
  <si>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</si>
  <si>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</si>
  <si>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</si>
  <si>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</si>
  <si>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</si>
  <si>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</si>
  <si>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</si>
  <si>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</si>
  <si>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городских округов</t>
  </si>
  <si>
    <t>000 1 17 01040 04 0000 180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</si>
  <si>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</si>
  <si>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</si>
  <si>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округов</t>
  </si>
  <si>
    <t>000 1 17 05040 04 0000 180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</si>
  <si>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</si>
  <si>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</si>
  <si>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</si>
  <si>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</si>
  <si>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</si>
  <si>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</si>
  <si>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</si>
  <si>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</si>
  <si>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округов на поддержку мер по обеспечению сбалансированности бюджетов</t>
  </si>
  <si>
    <t>000 2 02 15002 04 0000 150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</si>
  <si>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</si>
  <si>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</si>
  <si>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</si>
  <si>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</si>
  <si>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городских округов на реализацию мероприятий по обеспечению жильем молодых семей</t>
  </si>
  <si>
    <t>000 2 02 25497 04 0000 150</t>
  </si>
  <si>
    <t xml:space="preserve">  Субсидия бюджетам на поддержку отрасли культуры</t>
  </si>
  <si>
    <t>000 2 02 25519 00 0000 150</t>
  </si>
  <si>
    <t xml:space="preserve">  Субсидия бюджетам городских округов на поддержку отрасли культуры</t>
  </si>
  <si>
    <t>000 2 02 25519 04 0000 150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</si>
  <si>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</si>
  <si>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</si>
  <si>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</si>
  <si>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</si>
  <si>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  Прочие субсидии</t>
  </si>
  <si>
    <t>000 2 02 29999 00 0000 150</t>
  </si>
  <si>
    <t xml:space="preserve">  Прочие субсидии бюджетам городских округов</t>
  </si>
  <si>
    <t>000 2 02 29999 04 0000 150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</si>
  <si>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</si>
  <si>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</si>
  <si>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</si>
  <si>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</si>
  <si>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</si>
  <si>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</si>
  <si>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</si>
  <si>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</si>
  <si>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</si>
  <si>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</si>
  <si>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</si>
  <si>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</si>
  <si>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 xml:space="preserve">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</si>
  <si>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</si>
  <si>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</si>
  <si>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</si>
  <si>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</si>
  <si>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</si>
  <si>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</si>
  <si>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</si>
  <si>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городских округов на государственную регистрацию актов гражданского состояния</t>
  </si>
  <si>
    <t>000 2 02 35930 04 0000 150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</si>
  <si>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</si>
  <si>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</si>
  <si>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</si>
  <si>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</si>
  <si>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</si>
  <si>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</si>
  <si>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>Наименование доходов</t>
  </si>
  <si>
    <t>Доходы, всего:</t>
  </si>
  <si>
    <t>000 2 02 25243 04 0000 150</t>
  </si>
  <si>
    <t>000 2 02 25243 00 0000 150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</si>
  <si>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</si>
  <si>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на строительство и реконструкцию (модернизацию) объектов питьевого водоснабжения</t>
  </si>
  <si>
    <t>Код бюджетной классификации (без указания кода главного администратора доходов бюджета)</t>
  </si>
  <si>
    <t>Фактическое исполнение, 
тыс. руб.</t>
  </si>
  <si>
    <t>% исполнения первона-чального плана</t>
  </si>
  <si>
    <t>% исполнения уточнен-ного плана</t>
  </si>
  <si>
    <t>Пояснения отклонений от плановых значений</t>
  </si>
  <si>
    <t>000 1 16 07000 01 0000 140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</si>
  <si>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</si>
  <si>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</si>
  <si>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</si>
  <si>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000 2 02 35260 00 0000 150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</si>
  <si>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</si>
  <si>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000 2 02 35260 04 0000 150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</si>
  <si>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</si>
  <si>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000 2 02 19999 00 0000 150</t>
  </si>
  <si>
    <t>Прочие дотации</t>
  </si>
  <si>
    <t>000 2 02 19999 04 0000 150</t>
  </si>
  <si>
    <t>Прочие дотации бюджетам городских округов</t>
  </si>
  <si>
    <t>000 2 02 20299 00 0000 150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</si>
  <si>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</si>
  <si>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</si>
  <si>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</si>
  <si>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000 2 02 35304 00 0000 150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</si>
  <si>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</si>
  <si>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</si>
  <si>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000 2 02 45303 00 0000 150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</si>
  <si>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</si>
  <si>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</si>
  <si>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</si>
  <si>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</si>
  <si>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</si>
  <si>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000 2 02 25229 04 0000 150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</si>
  <si>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</si>
  <si>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000 2 02 25229 00 0000 150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</si>
  <si>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</si>
  <si>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t>000 2 02 35469 04 0000 150</t>
  </si>
  <si>
    <t xml:space="preserve">Субвенции бюджетам городских округов на проведение Всероссийской переписи населения
</t>
  </si>
  <si>
    <t xml:space="preserve">Субвенции бюджетам на проведение Всероссийской переписи населения
</t>
  </si>
  <si>
    <t>000 2 02 35469 00 0000 150</t>
  </si>
  <si>
    <t>000 2 02 36900 04 0000 150</t>
  </si>
  <si>
    <t>Единая субвенция бюджетам городских округов из бюджета субъекта Российской Федерации</t>
  </si>
  <si>
    <t>000 2 02 36900 00 0000 150</t>
  </si>
  <si>
    <t xml:space="preserve">Единая субвенция местным бюджетам из бюджета субъекта Российской Федерации
</t>
  </si>
  <si>
    <t>000 2 02 45454 04 0000 150</t>
  </si>
  <si>
    <t>000 2 02 45454 00 0000 150</t>
  </si>
  <si>
    <t xml:space="preserve">Межбюджетные трансферты, передаваемые бюджетам городских округов на создание модельных муниципальных библиотек
</t>
  </si>
  <si>
    <t xml:space="preserve">Межбюджетные трансферты, передаваемые бюджетам на создание модельных муниципальных библиотек
</t>
  </si>
  <si>
    <t>000 1 05 01000 01 0000 110</t>
  </si>
  <si>
    <t xml:space="preserve">Налог, взимаемый в связи с применением упрощенной системы налогообложения
</t>
  </si>
  <si>
    <t>000 2 02 39999 04 0000 150</t>
  </si>
  <si>
    <t>Прочие субвенции</t>
  </si>
  <si>
    <t>000 2 02 39999 00 0000 150</t>
  </si>
  <si>
    <t>Прочие субвенции бюджетам городских округов</t>
  </si>
  <si>
    <t>Уменьшение поступлений от штрафов установленных Кодексом Российской Федерации об административных правонарушениях</t>
  </si>
  <si>
    <t>Перевыполнение плана обусловлено увеличением поступлением доходов от уплаты акцизов на дизельное топливо и автомобильный бензин</t>
  </si>
  <si>
    <t>Невыполнение плана по субсидиям связано с тем, что перечисление межбюджетных трансфертов производилось в пределах сумм, необходимых для оплаты денежных обязательств по фактическим предоставленным расходам получателей средств бюджета городского округа</t>
  </si>
  <si>
    <t>Невыполнение плана по субвенциям связано с тем, что перечисление межбюджетных трансфертов производилось в пределах сумм, необходимых для оплаты денежных обязательств по фактическим расходам получателей средств бюджета городского округа</t>
  </si>
  <si>
    <t>000 1 11 09080 04 0000 120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</si>
  <si>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</si>
  <si>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
</t>
  </si>
  <si>
    <t>000 2 02 25511 00 0000 150</t>
  </si>
  <si>
    <t>000 2 02 25511 04 0000 150</t>
  </si>
  <si>
    <t xml:space="preserve">Субсидии бюджетам на проведение комплексных кадастровых работ
</t>
  </si>
  <si>
    <t>Субсидии бюджетам городских округов на проведение комплексных кадастровых работ</t>
  </si>
  <si>
    <t xml:space="preserve">000 2 02 49999 00 0000 150 </t>
  </si>
  <si>
    <t xml:space="preserve">Прочие межбюджетные трансферты, передаваемые бюджетам
</t>
  </si>
  <si>
    <t xml:space="preserve">Прочие межбюджетные трансферты, передаваемые бюджетам городских округов
</t>
  </si>
  <si>
    <t>000 2 02 45505 00 0000 150</t>
  </si>
  <si>
    <t>000 2 02 45505 04 0000 150</t>
  </si>
  <si>
    <t xml:space="preserve"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
</t>
  </si>
  <si>
    <t xml:space="preserve">Межбюджетные трансферты, передаваемые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
</t>
  </si>
  <si>
    <t>План по  муниципальному правовому акту о бюджете от 01.12.2022 № 10-МПА (первоначальный), тыс. руб.</t>
  </si>
  <si>
    <t>000 1 11 05020 00 0000 120</t>
  </si>
  <si>
    <t>000 1 11 05024 00 0000 120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</si>
  <si>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</si>
  <si>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
</t>
  </si>
  <si>
    <t>000 1 11 09000 00 0000 120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</si>
  <si>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</si>
  <si>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000 1 13 01000 00 0000 130</t>
  </si>
  <si>
    <t xml:space="preserve">Доходы от оказания платных услуг (работ)
</t>
  </si>
  <si>
    <t>000 1 13 01074 04 0000 130</t>
  </si>
  <si>
    <t xml:space="preserve">Доходы от оказания информационных услуг органами местного самоуправления городских округов, казенными учреждениями городских округов
</t>
  </si>
  <si>
    <t>000 2 19 35930 04 0000 150</t>
  </si>
  <si>
    <t xml:space="preserve">Возврат остатков субвенций на государственную регистрацию актов гражданского состояния из бюджетов городских округов
</t>
  </si>
  <si>
    <t>Сведения о фактических поступлениях доходов по видам деятельности за 2023 год</t>
  </si>
  <si>
    <t>План по  муниципальному правовому акту о бюджете от 28.12.2022 № 19-МПА (первоначальный), тыс. руб.</t>
  </si>
  <si>
    <t>000 2 02 25081 00 0000 150</t>
  </si>
  <si>
    <t>000 2 02 25081 04 0000 150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</si>
  <si>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</si>
  <si>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000 2 02 45179 00 0000 150</t>
  </si>
  <si>
    <t>000 2 02 45179 04 0000 150</t>
  </si>
  <si>
    <t>Межбюджетные трансферты бюджетам городских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</si>
  <si>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Межбюджетные трансферты бюджетам 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</si>
  <si>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000 2 02 45453 00 0000 150</t>
  </si>
  <si>
    <t>000 2 02 45453 04 0000 150</t>
  </si>
  <si>
    <t xml:space="preserve">Межбюджетные трансферты бюджетам городских округов Приморского края на ежемесячное денежное вознаграждение за классное руководство педагогическим работникам муниципальных общеобразовательных организаций </t>
  </si>
  <si>
    <t xml:space="preserve">Межбюджетные трансферты бюджетам Приморского края на ежемесячное денежное вознаграждение за классное руководство педагогическим работникам муниципальных общеобразовательных организаций </t>
  </si>
  <si>
    <t>План по  муниципальному правовому акту о бюджете от 21.02.2023 № 21-МПА (первоначальный), тыс. руб.</t>
  </si>
  <si>
    <t>План по  муниципальному правовому акту о бюджете от 16.04.2023 № 28-МПА (первоначальный), тыс. руб.</t>
  </si>
  <si>
    <t>План по  муниципальному правовому акту о бюджете от 28.06.2023 № 38-МПА (первоначальный), тыс. руб.</t>
  </si>
  <si>
    <t>План по  муниципальному правовому акту о бюджете от 28.09.2023 № 48-МПА (первоначальный), тыс. руб.</t>
  </si>
  <si>
    <t>План по  муниципальному правовому акту о бюджете от 25.10.2023 № 57-МПА (первоначальный), тыс. руб.</t>
  </si>
  <si>
    <t>000 2 02 20077 00 0000 150</t>
  </si>
  <si>
    <t>000 2 02 20077 04 0000 150</t>
  </si>
  <si>
    <t>Субсидия на реализацию мероприятий, источником финансового обеспечения которых являются специальные казначейские кредиты из федерального бюджета (строительство, реконструкция (в том числе проектно-изыскательские работы) и приобретение зданий муниципальных общеобразовательных организаций)</t>
  </si>
  <si>
    <t>План по  муниципальному правовому акту о бюджете от 29.11.2023 № 65-МПА (первоначальный), тыс. руб.</t>
  </si>
  <si>
    <t>План по муниципальному правовому акту о бюджете от 26.12.2023 №68-МПА (уточненный), тыс. руб.</t>
  </si>
  <si>
    <t>000 1 11 05300 00 0000 120</t>
  </si>
  <si>
    <t>000 1 11 05320 00 0000 120</t>
  </si>
  <si>
    <t>000 1 11 05324 04 0000 120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</si>
  <si>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</si>
  <si>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 xml:space="preserve"> 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</si>
  <si>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</si>
  <si>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000 2 02 20303 04 0000 150</t>
  </si>
  <si>
    <t>000 2 02 20303 00 0000 150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</si>
  <si>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</si>
  <si>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городских округов на обеспечение мероприятий по модернизации систем коммунальной инфраструктуры за счет средств бюджетов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</si>
  <si>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</si>
  <si>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>Невыполнение плана связано с тем, что перечисление субсидий и субвенций  производилось в пределах сумм, необходимых для оплаты денежных обязательств по фактическим расходов получателей средств бюджета городского округа</t>
  </si>
  <si>
    <t>Невыполнение плана по трансфертам связано с тем, что перечисление межбюджетных трансфертов производилось в пределах сумм, необходимых для оплаты денежных обязательств по фактическим предоставленным расходам получателей средств бюджета городского округа</t>
  </si>
  <si>
    <t>000 2 19 45505 04 0000 150</t>
  </si>
  <si>
    <t>Возврат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из бюджетов городских округов</t>
  </si>
  <si>
    <t>Перевыполнение плана по НДФЛ произошло вследствие выплаты начисленной заработной платы всем бюджетным, казенным и автономным учреждениям Арсеньевского городского округа за декабрь в декабре 2023 года, а также выплатой ПАО ААК «Прогресс» вознаграждения за выслугу лет в конце 2023 года. Также, согласно муниципальному правовому акту № 19-МПА от 28 декабря 2022 года  была произведена индексация заработной платы работников по должностям муниципальной службы, с 01 октября 2023 года на 5,5% и 01 декабря 2023 года на 10,9%</t>
  </si>
  <si>
    <t>Перевыполнение плана объясняется увеличением на основании Закона Приморского края «О краевом бюджете на 2023 год и плановый период 2024 и 2025 годов» с 1 января 2023 года процента отчисления по дополнительному нормативу отчислений от данного налога в местный бюджет (2022 году – 29,9644476 %, в 2023 году – 32,185625 %)</t>
  </si>
  <si>
    <t>Перевыполнение плана объясняется увеличением количества плательщиков налога, взимаемого в связи с применением упрощенной системы налогообложения</t>
  </si>
  <si>
    <t>Невыполнение плана объясняется снижением количества плательщиков единого сельскохозяйственного налога</t>
  </si>
  <si>
    <t xml:space="preserve">Невыполнение плана по налогу, взимаемому в связи с применением патентной системы налогообложения объясняется предоставлением налогоплательщиками уведомлений об уменьшении стоимости патента на сумму страховых взносов, как за текущий период, так и за предыдущие периоды действия патента. В соответствии с письмом Министерства финансов РФ № 03-11-09/21978 от 15 марта 2023 года, сумма патента уменьшается на сумму страховых взносов, уплаченных в 2023 году, как во время действия патента, так и до получения патента (после получения патента). Таким образом сумма налога уменьшилась на сумму страховых взносов, уплаченных в 2023 году за 2022 год и предыдущие годы. </t>
  </si>
  <si>
    <t>В соответствии с Законом Приморского края от 05 июля 2019 года  N 525-КЗ "О единой дате начала применения на территории Приморского края порядка определения налоговой базы по налогу на имущество физических лиц исходя из кадастровой стоимости объектов налогообложения" в 2021 году налог на имущество физических лиц исчисляется исходя из кадастровой стоимости. В связи с этим, в целях недопущения резкого роста налоговой нагрузки на налогоплательщиков за первые три налоговых периода с начала расчета налога по кадастровой стоимости предусмотрены понижающие коэффициенты. В 2022 году коэффициент для Приморского края составлял – 0,4, а в 2023 году уже 0,6</t>
  </si>
  <si>
    <t>Перевыполнение плана по  земельному налогу объясняется гашением задолженности</t>
  </si>
  <si>
    <t xml:space="preserve">Перевыполнение плана по доходам от компенсации затрат государства произошел в результате возмещения в пользу бюджета городского округа ущерба от переплаты заработной платы и подотчетных сумм Думой Арсеньевского городского округа, также оплатой за ущерб по вырубке зеленых насаждений  ООО «ПРИМОРЬЕ СПОРТОТЕЛЬИНВЕСТ» </t>
  </si>
  <si>
    <t>Причиной перевыполнения плана по доходам от реализации имущества, явился факт реализации крупных объектов муниципального имущества посредством аукциона</t>
  </si>
  <si>
    <t>Перевыполнение плана обусловлено незапланированой реализацией земельных участков</t>
  </si>
  <si>
    <t xml:space="preserve">Перевыполнение плана обусловлено незапланированной реализацией земельных участков и объектов муниципального имущества </t>
  </si>
  <si>
    <t xml:space="preserve">Перевыполнение плана по аренде имущества произошло в результате активной претензионно-исковой работы с задолженниками </t>
  </si>
  <si>
    <t xml:space="preserve">Перевыполнение плана по аренде земли произошло в результате активной претензионно-исковой работы с задолженниками </t>
  </si>
  <si>
    <t xml:space="preserve">Перевыполнение плана по аренде имущества, составляющего государственную (муниципальную) казну, произошло в результате активной претензионно-исковой работы с задолженниками </t>
  </si>
  <si>
    <t>Перевыполнение плана по доходам от использования имущества и прав, находящихся в государственной и муниципальной собственностипроизошло в результате активной претензионно-исковой работы с задолженниками , а также по причине увеличения договоров аренды</t>
  </si>
  <si>
    <t>Перевыполнение плана по аренде земли и имущества произошло в результате активной претензионно-исковой работы с задолженниками , а также в результате увеличения договоров аренды</t>
  </si>
  <si>
    <t>Перевыполнение плана обусловлено увеличением поступлением доходов от уплаты платы за негативное воздействие на окружающую среду</t>
  </si>
  <si>
    <t>Снижение поступлений по прочим неналоговым доходам повлекло за свобой невыполение плана по данному виду доходов</t>
  </si>
  <si>
    <t xml:space="preserve">Перевыполнение плана по доходам, получаемых в виде арендной либо иной платы за передачу в возмездное пользование государственного и муниципального имущества,  произошло в результате активной претензионно-исковой работы с задолженниками </t>
  </si>
  <si>
    <t>Перевыполнение плана обусловлено увеличением поступлением доходов по государственной пошлине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</si>
</sst>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dd\.mm\.yyyy"/>
    <numFmt numFmtId="165" formatCode="#,##0.00_ ;\-#,##0.00"/>
    <numFmt numFmtId="166" formatCode="0.0%"/>
    <numFmt numFmtId="167" formatCode="#,##0.00000"/>
  </numFmts>
  <fonts count="32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</font>
    <font>
      <sz val="1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 Cyr"/>
      <charset val="204"/>
    </font>
    <font>
      <sz val="11"/>
      <color indexed="8"/>
      <name val="Calibri"/>
      <family val="2"/>
      <charset val="204"/>
    </font>
    <font>
      <b/>
      <sz val="8"/>
      <name val="Arial Cyr"/>
    </font>
    <font>
      <b/>
      <sz val="11"/>
      <name val="Calibri"/>
      <family val="2"/>
      <scheme val="minor"/>
    </font>
    <font>
      <sz val="14"/>
      <name val="Arial Cyr"/>
    </font>
    <font>
      <b/>
      <sz val="12"/>
      <name val="Arial Cyr"/>
    </font>
    <font>
      <sz val="8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3">
    <xf numFmtId="0" fontId="0" fillId="0" borderId="0"/>
    <xf numFmtId="0" fontId="2" fillId="0" borderId="1"/>
    <xf numFmtId="0" fontId="3" fillId="0" borderId="1">
      <alignment horizontal="center"/>
    </xf>
    <xf numFmtId="0" fontId="4" fillId="0" borderId="2">
      <alignment horizontal="center"/>
    </xf>
    <xf numFmtId="0" fontId="5" fillId="0" borderId="1">
      <alignment horizontal="right"/>
    </xf>
    <xf numFmtId="0" fontId="3" fillId="0" borderId="1"/>
    <xf numFmtId="0" fontId="6" fillId="0" borderId="1"/>
    <xf numFmtId="0" fontId="6" fillId="0" borderId="3"/>
    <xf numFmtId="0" fontId="4" fillId="0" borderId="4">
      <alignment horizontal="center"/>
    </xf>
    <xf numFmtId="0" fontId="5" fillId="0" borderId="5">
      <alignment horizontal="right"/>
    </xf>
    <xf numFmtId="0" fontId="4" fillId="0" borderId="1"/>
    <xf numFmtId="0" fontId="4" fillId="0" borderId="6">
      <alignment horizontal="right"/>
    </xf>
    <xf numFmtId="49" fontId="4" fillId="0" borderId="7">
      <alignment horizontal="center"/>
    </xf>
    <xf numFmtId="0" fontId="5" fillId="0" borderId="8">
      <alignment horizontal="right"/>
    </xf>
    <xf numFmtId="0" fontId="7" fillId="0" borderId="1"/>
    <xf numFmtId="164" fontId="4" fillId="0" borderId="9">
      <alignment horizontal="center"/>
    </xf>
    <xf numFmtId="0" fontId="4" fillId="0" borderId="1">
      <alignment horizontal="left"/>
    </xf>
    <xf numFmtId="49" fontId="4" fillId="0" borderId="1"/>
    <xf numFmtId="49" fontId="4" fillId="0" borderId="6">
      <alignment horizontal="right" vertical="center"/>
    </xf>
    <xf numFmtId="49" fontId="4" fillId="0" borderId="9">
      <alignment horizontal="center" vertical="center"/>
    </xf>
    <xf numFmtId="0" fontId="4" fillId="0" borderId="2">
      <alignment horizontal="left" wrapText="1"/>
    </xf>
    <xf numFmtId="49" fontId="4" fillId="0" borderId="9">
      <alignment horizontal="center"/>
    </xf>
    <xf numFmtId="0" fontId="4" fillId="0" borderId="10">
      <alignment horizontal="left" wrapText="1"/>
    </xf>
    <xf numFmtId="49" fontId="4" fillId="0" borderId="6">
      <alignment horizontal="right"/>
    </xf>
    <xf numFmtId="0" fontId="4" fillId="0" borderId="11">
      <alignment horizontal="left"/>
    </xf>
    <xf numFmtId="49" fontId="4" fillId="0" borderId="11"/>
    <xf numFmtId="49" fontId="4" fillId="0" borderId="6"/>
    <xf numFmtId="49" fontId="4" fillId="0" borderId="12">
      <alignment horizontal="center"/>
    </xf>
    <xf numFmtId="0" fontId="3" fillId="0" borderId="2">
      <alignment horizontal="center"/>
    </xf>
    <xf numFmtId="0" fontId="4" fillId="0" borderId="13">
      <alignment horizontal="center" vertical="top" wrapText="1"/>
    </xf>
    <xf numFmtId="49" fontId="4" fillId="0" borderId="13">
      <alignment horizontal="center" vertical="top" wrapText="1"/>
    </xf>
    <xf numFmtId="0" fontId="2" fillId="0" borderId="14"/>
    <xf numFmtId="0" fontId="2" fillId="0" borderId="5"/>
    <xf numFmtId="0" fontId="4" fillId="0" borderId="13">
      <alignment horizontal="center" vertical="center"/>
    </xf>
    <xf numFmtId="0" fontId="4" fillId="0" borderId="4">
      <alignment horizontal="center" vertical="center"/>
    </xf>
    <xf numFmtId="49" fontId="4" fillId="0" borderId="4">
      <alignment horizontal="center" vertical="center"/>
    </xf>
    <xf numFmtId="0" fontId="4" fillId="0" borderId="15">
      <alignment horizontal="left" wrapText="1"/>
    </xf>
    <xf numFmtId="49" fontId="4" fillId="0" borderId="16">
      <alignment horizontal="center" wrapText="1"/>
    </xf>
    <xf numFmtId="49" fontId="4" fillId="0" borderId="17">
      <alignment horizontal="center"/>
    </xf>
    <xf numFmtId="4" fontId="4" fillId="0" borderId="17">
      <alignment horizontal="right" shrinkToFit="1"/>
    </xf>
    <xf numFmtId="0" fontId="4" fillId="0" borderId="18">
      <alignment horizontal="left" wrapText="1"/>
    </xf>
    <xf numFmtId="49" fontId="4" fillId="0" borderId="19">
      <alignment horizontal="center" shrinkToFit="1"/>
    </xf>
    <xf numFmtId="49" fontId="4" fillId="0" borderId="20">
      <alignment horizontal="center"/>
    </xf>
    <xf numFmtId="4" fontId="4" fillId="0" borderId="20">
      <alignment horizontal="right" shrinkToFit="1"/>
    </xf>
    <xf numFmtId="0" fontId="4" fillId="0" borderId="21">
      <alignment horizontal="left" wrapText="1" indent="2"/>
    </xf>
    <xf numFmtId="49" fontId="4" fillId="0" borderId="22">
      <alignment horizontal="center" shrinkToFit="1"/>
    </xf>
    <xf numFmtId="49" fontId="4" fillId="0" borderId="23">
      <alignment horizontal="center"/>
    </xf>
    <xf numFmtId="4" fontId="4" fillId="0" borderId="23">
      <alignment horizontal="right" shrinkToFit="1"/>
    </xf>
    <xf numFmtId="49" fontId="4" fillId="0" borderId="1">
      <alignment horizontal="right"/>
    </xf>
    <xf numFmtId="0" fontId="3" fillId="0" borderId="5">
      <alignment horizontal="center"/>
    </xf>
    <xf numFmtId="0" fontId="4" fillId="0" borderId="4">
      <alignment horizontal="center" vertical="center" shrinkToFit="1"/>
    </xf>
    <xf numFmtId="49" fontId="4" fillId="0" borderId="4">
      <alignment horizontal="center" vertical="center" shrinkToFit="1"/>
    </xf>
    <xf numFmtId="49" fontId="2" fillId="0" borderId="5"/>
    <xf numFmtId="0" fontId="4" fillId="0" borderId="16">
      <alignment horizontal="center" shrinkToFit="1"/>
    </xf>
    <xf numFmtId="4" fontId="4" fillId="0" borderId="24">
      <alignment horizontal="right" shrinkToFit="1"/>
    </xf>
    <xf numFmtId="49" fontId="2" fillId="0" borderId="8"/>
    <xf numFmtId="0" fontId="4" fillId="0" borderId="19">
      <alignment horizontal="center" shrinkToFit="1"/>
    </xf>
    <xf numFmtId="165" fontId="4" fillId="0" borderId="20">
      <alignment horizontal="right" shrinkToFit="1"/>
    </xf>
    <xf numFmtId="165" fontId="4" fillId="0" borderId="25">
      <alignment horizontal="right" shrinkToFit="1"/>
    </xf>
    <xf numFmtId="0" fontId="4" fillId="0" borderId="26">
      <alignment horizontal="left" wrapText="1"/>
    </xf>
    <xf numFmtId="49" fontId="4" fillId="0" borderId="22">
      <alignment horizontal="center" wrapText="1"/>
    </xf>
    <xf numFmtId="49" fontId="4" fillId="0" borderId="23">
      <alignment horizontal="center" wrapText="1"/>
    </xf>
    <xf numFmtId="4" fontId="4" fillId="0" borderId="23">
      <alignment horizontal="right" wrapText="1"/>
    </xf>
    <xf numFmtId="4" fontId="4" fillId="0" borderId="21">
      <alignment horizontal="right" wrapText="1"/>
    </xf>
    <xf numFmtId="0" fontId="2" fillId="0" borderId="8">
      <alignment wrapText="1"/>
    </xf>
    <xf numFmtId="0" fontId="4" fillId="0" borderId="27">
      <alignment horizontal="left" wrapText="1"/>
    </xf>
    <xf numFmtId="49" fontId="4" fillId="0" borderId="28">
      <alignment horizontal="center" shrinkToFit="1"/>
    </xf>
    <xf numFmtId="49" fontId="4" fillId="0" borderId="29">
      <alignment horizontal="center"/>
    </xf>
    <xf numFmtId="4" fontId="4" fillId="0" borderId="29">
      <alignment horizontal="right" shrinkToFit="1"/>
    </xf>
    <xf numFmtId="49" fontId="4" fillId="0" borderId="30">
      <alignment horizontal="center"/>
    </xf>
    <xf numFmtId="0" fontId="2" fillId="0" borderId="8"/>
    <xf numFmtId="0" fontId="7" fillId="0" borderId="11"/>
    <xf numFmtId="0" fontId="7" fillId="0" borderId="31"/>
    <xf numFmtId="0" fontId="4" fillId="0" borderId="1">
      <alignment wrapText="1"/>
    </xf>
    <xf numFmtId="49" fontId="4" fillId="0" borderId="1">
      <alignment wrapText="1"/>
    </xf>
    <xf numFmtId="49" fontId="4" fillId="0" borderId="1">
      <alignment horizontal="center"/>
    </xf>
    <xf numFmtId="49" fontId="8" fillId="0" borderId="1"/>
    <xf numFmtId="0" fontId="4" fillId="0" borderId="2">
      <alignment horizontal="left"/>
    </xf>
    <xf numFmtId="49" fontId="4" fillId="0" borderId="2">
      <alignment horizontal="left"/>
    </xf>
    <xf numFmtId="0" fontId="4" fillId="0" borderId="2">
      <alignment horizontal="center" shrinkToFit="1"/>
    </xf>
    <xf numFmtId="49" fontId="4" fillId="0" borderId="2">
      <alignment horizontal="center" vertical="center" shrinkToFit="1"/>
    </xf>
    <xf numFmtId="49" fontId="2" fillId="0" borderId="2">
      <alignment shrinkToFit="1"/>
    </xf>
    <xf numFmtId="49" fontId="4" fillId="0" borderId="2">
      <alignment horizontal="right"/>
    </xf>
    <xf numFmtId="0" fontId="4" fillId="0" borderId="16">
      <alignment horizontal="center" vertical="center" shrinkToFit="1"/>
    </xf>
    <xf numFmtId="49" fontId="4" fillId="0" borderId="17">
      <alignment horizontal="center" vertical="center"/>
    </xf>
    <xf numFmtId="0" fontId="4" fillId="0" borderId="15">
      <alignment horizontal="left" wrapText="1" indent="2"/>
    </xf>
    <xf numFmtId="0" fontId="4" fillId="0" borderId="32">
      <alignment horizontal="center" vertical="center" shrinkToFit="1"/>
    </xf>
    <xf numFmtId="49" fontId="4" fillId="0" borderId="13">
      <alignment horizontal="center" vertical="center"/>
    </xf>
    <xf numFmtId="165" fontId="4" fillId="0" borderId="13">
      <alignment horizontal="right" vertical="center" shrinkToFit="1"/>
    </xf>
    <xf numFmtId="165" fontId="4" fillId="0" borderId="27">
      <alignment horizontal="right" vertical="center" shrinkToFit="1"/>
    </xf>
    <xf numFmtId="0" fontId="4" fillId="0" borderId="33">
      <alignment horizontal="left" wrapText="1"/>
    </xf>
    <xf numFmtId="4" fontId="4" fillId="0" borderId="13">
      <alignment horizontal="right" shrinkToFit="1"/>
    </xf>
    <xf numFmtId="4" fontId="4" fillId="0" borderId="27">
      <alignment horizontal="right" shrinkToFit="1"/>
    </xf>
    <xf numFmtId="0" fontId="4" fillId="0" borderId="18">
      <alignment horizontal="left" wrapText="1" indent="2"/>
    </xf>
    <xf numFmtId="0" fontId="9" fillId="0" borderId="27">
      <alignment wrapText="1"/>
    </xf>
    <xf numFmtId="0" fontId="9" fillId="0" borderId="27"/>
    <xf numFmtId="0" fontId="9" fillId="2" borderId="27">
      <alignment wrapText="1"/>
    </xf>
    <xf numFmtId="0" fontId="4" fillId="2" borderId="26">
      <alignment horizontal="left" wrapText="1"/>
    </xf>
    <xf numFmtId="49" fontId="4" fillId="0" borderId="27">
      <alignment horizontal="center" shrinkToFit="1"/>
    </xf>
    <xf numFmtId="49" fontId="4" fillId="0" borderId="13">
      <alignment horizontal="center" vertical="center" shrinkToFit="1"/>
    </xf>
    <xf numFmtId="0" fontId="2" fillId="0" borderId="11">
      <alignment horizontal="left"/>
    </xf>
    <xf numFmtId="0" fontId="2" fillId="0" borderId="31">
      <alignment horizontal="left" wrapText="1"/>
    </xf>
    <xf numFmtId="0" fontId="2" fillId="0" borderId="31">
      <alignment horizontal="left"/>
    </xf>
    <xf numFmtId="0" fontId="4" fillId="0" borderId="31"/>
    <xf numFmtId="49" fontId="2" fillId="0" borderId="31"/>
    <xf numFmtId="49" fontId="2" fillId="0" borderId="31"/>
    <xf numFmtId="0" fontId="2" fillId="0" borderId="1">
      <alignment horizontal="left"/>
    </xf>
    <xf numFmtId="0" fontId="2" fillId="0" borderId="1">
      <alignment horizontal="left" wrapText="1"/>
    </xf>
    <xf numFmtId="0" fontId="2" fillId="0" borderId="1">
      <alignment horizontal="left"/>
    </xf>
    <xf numFmtId="0" fontId="4" fillId="0" borderId="1"/>
    <xf numFmtId="49" fontId="2" fillId="0" borderId="1"/>
    <xf numFmtId="49" fontId="2" fillId="0" borderId="1"/>
    <xf numFmtId="0" fontId="4" fillId="0" borderId="1">
      <alignment horizontal="center" wrapText="1"/>
    </xf>
    <xf numFmtId="0" fontId="4" fillId="0" borderId="2">
      <alignment horizontal="center" wrapText="1"/>
    </xf>
    <xf numFmtId="0" fontId="10" fillId="0" borderId="1">
      <alignment horizontal="center"/>
    </xf>
    <xf numFmtId="0" fontId="10" fillId="0" borderId="11">
      <alignment horizontal="center"/>
    </xf>
    <xf numFmtId="0" fontId="2" fillId="0" borderId="1">
      <alignment horizontal="left"/>
    </xf>
    <xf numFmtId="0" fontId="2" fillId="0" borderId="1">
      <alignment horizontal="center"/>
    </xf>
    <xf numFmtId="0" fontId="8" fillId="0" borderId="1">
      <alignment horizontal="left"/>
    </xf>
    <xf numFmtId="49" fontId="2" fillId="0" borderId="1"/>
    <xf numFmtId="49" fontId="4" fillId="0" borderId="1">
      <alignment horizontal="left"/>
    </xf>
    <xf numFmtId="49" fontId="4" fillId="0" borderId="1">
      <alignment horizontal="center" wrapText="1"/>
    </xf>
    <xf numFmtId="0" fontId="4" fillId="0" borderId="1">
      <alignment horizontal="center"/>
    </xf>
    <xf numFmtId="0" fontId="10" fillId="0" borderId="11">
      <alignment horizontal="center"/>
    </xf>
    <xf numFmtId="0" fontId="7" fillId="0" borderId="1"/>
    <xf numFmtId="0" fontId="10" fillId="0" borderId="1">
      <alignment horizontal="center"/>
    </xf>
    <xf numFmtId="0" fontId="7" fillId="0" borderId="1"/>
    <xf numFmtId="0" fontId="10" fillId="0" borderId="1">
      <alignment horizontal="center"/>
    </xf>
    <xf numFmtId="0" fontId="4" fillId="0" borderId="1">
      <alignment horizontal="center" wrapText="1"/>
    </xf>
    <xf numFmtId="0" fontId="9" fillId="0" borderId="1"/>
    <xf numFmtId="0" fontId="11" fillId="0" borderId="2"/>
    <xf numFmtId="0" fontId="11" fillId="0" borderId="1"/>
    <xf numFmtId="0" fontId="2" fillId="0" borderId="2"/>
    <xf numFmtId="0" fontId="2" fillId="0" borderId="13">
      <alignment horizontal="left" wrapText="1"/>
    </xf>
    <xf numFmtId="0" fontId="2" fillId="0" borderId="11"/>
    <xf numFmtId="0" fontId="13" fillId="0" borderId="0"/>
    <xf numFmtId="0" fontId="13" fillId="0" borderId="0"/>
    <xf numFmtId="0" fontId="13" fillId="0" borderId="0"/>
    <xf numFmtId="0" fontId="11" fillId="0" borderId="1"/>
    <xf numFmtId="0" fontId="11" fillId="0" borderId="1"/>
    <xf numFmtId="0" fontId="12" fillId="3" borderId="1"/>
    <xf numFmtId="0" fontId="2" fillId="0" borderId="13">
      <alignment horizontal="left"/>
    </xf>
    <xf numFmtId="0" fontId="1" fillId="0" borderId="1"/>
    <xf numFmtId="0" fontId="21" fillId="0" borderId="1"/>
    <xf numFmtId="0" fontId="1" fillId="5" borderId="1" applyNumberFormat="0" applyBorder="0" applyAlignment="0" applyProtection="0"/>
    <xf numFmtId="0" fontId="1" fillId="5" borderId="1" applyNumberFormat="0" applyBorder="0" applyAlignment="0" applyProtection="0"/>
    <xf numFmtId="0" fontId="1" fillId="5" borderId="1" applyNumberFormat="0" applyBorder="0" applyAlignment="0" applyProtection="0"/>
    <xf numFmtId="0" fontId="1" fillId="7" borderId="1" applyNumberFormat="0" applyBorder="0" applyAlignment="0" applyProtection="0"/>
    <xf numFmtId="0" fontId="1" fillId="7" borderId="1" applyNumberFormat="0" applyBorder="0" applyAlignment="0" applyProtection="0"/>
    <xf numFmtId="0" fontId="1" fillId="7" borderId="1" applyNumberFormat="0" applyBorder="0" applyAlignment="0" applyProtection="0"/>
    <xf numFmtId="0" fontId="1" fillId="9" borderId="1" applyNumberFormat="0" applyBorder="0" applyAlignment="0" applyProtection="0"/>
    <xf numFmtId="0" fontId="1" fillId="9" borderId="1" applyNumberFormat="0" applyBorder="0" applyAlignment="0" applyProtection="0"/>
    <xf numFmtId="0" fontId="1" fillId="9" borderId="1" applyNumberFormat="0" applyBorder="0" applyAlignment="0" applyProtection="0"/>
    <xf numFmtId="0" fontId="1" fillId="11" borderId="1" applyNumberFormat="0" applyBorder="0" applyAlignment="0" applyProtection="0"/>
    <xf numFmtId="0" fontId="1" fillId="11" borderId="1" applyNumberFormat="0" applyBorder="0" applyAlignment="0" applyProtection="0"/>
    <xf numFmtId="0" fontId="1" fillId="11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6" borderId="1" applyNumberFormat="0" applyBorder="0" applyAlignment="0" applyProtection="0"/>
    <xf numFmtId="0" fontId="1" fillId="6" borderId="1" applyNumberFormat="0" applyBorder="0" applyAlignment="0" applyProtection="0"/>
    <xf numFmtId="0" fontId="1" fillId="6" borderId="1" applyNumberFormat="0" applyBorder="0" applyAlignment="0" applyProtection="0"/>
    <xf numFmtId="0" fontId="1" fillId="8" borderId="1" applyNumberFormat="0" applyBorder="0" applyAlignment="0" applyProtection="0"/>
    <xf numFmtId="0" fontId="1" fillId="8" borderId="1" applyNumberFormat="0" applyBorder="0" applyAlignment="0" applyProtection="0"/>
    <xf numFmtId="0" fontId="1" fillId="8" borderId="1" applyNumberFormat="0" applyBorder="0" applyAlignment="0" applyProtection="0"/>
    <xf numFmtId="0" fontId="1" fillId="10" borderId="1" applyNumberFormat="0" applyBorder="0" applyAlignment="0" applyProtection="0"/>
    <xf numFmtId="0" fontId="1" fillId="10" borderId="1" applyNumberFormat="0" applyBorder="0" applyAlignment="0" applyProtection="0"/>
    <xf numFmtId="0" fontId="1" fillId="10" borderId="1" applyNumberFormat="0" applyBorder="0" applyAlignment="0" applyProtection="0"/>
    <xf numFmtId="0" fontId="1" fillId="12" borderId="1" applyNumberFormat="0" applyBorder="0" applyAlignment="0" applyProtection="0"/>
    <xf numFmtId="0" fontId="1" fillId="12" borderId="1" applyNumberFormat="0" applyBorder="0" applyAlignment="0" applyProtection="0"/>
    <xf numFmtId="0" fontId="1" fillId="12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6" borderId="1" applyNumberFormat="0" applyBorder="0" applyAlignment="0" applyProtection="0"/>
    <xf numFmtId="0" fontId="1" fillId="16" borderId="1" applyNumberFormat="0" applyBorder="0" applyAlignment="0" applyProtection="0"/>
    <xf numFmtId="0" fontId="1" fillId="16" borderId="1" applyNumberFormat="0" applyBorder="0" applyAlignment="0" applyProtection="0"/>
    <xf numFmtId="0" fontId="20" fillId="0" borderId="1" applyNumberFormat="0" applyFill="0" applyBorder="0" applyAlignment="0" applyProtection="0"/>
    <xf numFmtId="0" fontId="1" fillId="0" borderId="1"/>
    <xf numFmtId="0" fontId="23" fillId="0" borderId="1"/>
    <xf numFmtId="0" fontId="24" fillId="17" borderId="1"/>
    <xf numFmtId="0" fontId="23" fillId="17" borderId="1"/>
    <xf numFmtId="0" fontId="23" fillId="17" borderId="1"/>
    <xf numFmtId="0" fontId="25" fillId="0" borderId="1"/>
    <xf numFmtId="0" fontId="26" fillId="4" borderId="35" applyNumberFormat="0" applyFont="0" applyAlignment="0" applyProtection="0"/>
    <xf numFmtId="0" fontId="26" fillId="4" borderId="35" applyNumberFormat="0" applyFont="0" applyAlignment="0" applyProtection="0"/>
    <xf numFmtId="0" fontId="26" fillId="4" borderId="35" applyNumberFormat="0" applyFont="0" applyAlignment="0" applyProtection="0"/>
    <xf numFmtId="0" fontId="1" fillId="4" borderId="35" applyNumberFormat="0" applyFont="0" applyAlignment="0" applyProtection="0"/>
    <xf numFmtId="9" fontId="25" fillId="0" borderId="1" applyFont="0" applyFill="0" applyBorder="0" applyAlignment="0" applyProtection="0"/>
    <xf numFmtId="43" fontId="21" fillId="0" borderId="1" applyFont="0" applyFill="0" applyBorder="0" applyAlignment="0" applyProtection="0"/>
  </cellStyleXfs>
  <cellXfs count="104">
    <xf numFmtId="0" fontId="0" fillId="0" borderId="0" xfId="0"/>
    <xf numFmtId="0" fontId="15" fillId="0" borderId="1" xfId="1" applyNumberFormat="1" applyFont="1" applyFill="1" applyProtection="1"/>
    <xf numFmtId="0" fontId="16" fillId="0" borderId="1" xfId="0" applyFont="1" applyFill="1" applyBorder="1" applyAlignment="1">
      <alignment horizontal="center" vertical="center" wrapText="1"/>
    </xf>
    <xf numFmtId="0" fontId="19" fillId="0" borderId="1" xfId="14" applyNumberFormat="1" applyFont="1" applyFill="1" applyProtection="1"/>
    <xf numFmtId="0" fontId="28" fillId="0" borderId="0" xfId="0" applyFont="1" applyFill="1" applyProtection="1">
      <protection locked="0"/>
    </xf>
    <xf numFmtId="4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4" fontId="0" fillId="0" borderId="0" xfId="0" applyNumberFormat="1" applyFont="1" applyFill="1" applyAlignment="1" applyProtection="1">
      <alignment wrapText="1"/>
      <protection locked="0"/>
    </xf>
    <xf numFmtId="4" fontId="0" fillId="18" borderId="0" xfId="0" applyNumberFormat="1" applyFont="1" applyFill="1" applyProtection="1">
      <protection locked="0"/>
    </xf>
    <xf numFmtId="4" fontId="15" fillId="0" borderId="1" xfId="1" applyNumberFormat="1" applyFont="1" applyFill="1" applyProtection="1"/>
    <xf numFmtId="0" fontId="17" fillId="0" borderId="39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167" fontId="22" fillId="0" borderId="36" xfId="39" applyNumberFormat="1" applyFont="1" applyFill="1" applyBorder="1" applyAlignment="1" applyProtection="1">
      <alignment shrinkToFit="1"/>
    </xf>
    <xf numFmtId="167" fontId="22" fillId="0" borderId="37" xfId="47" applyNumberFormat="1" applyFont="1" applyFill="1" applyBorder="1" applyAlignment="1" applyProtection="1">
      <alignment shrinkToFit="1"/>
    </xf>
    <xf numFmtId="167" fontId="16" fillId="0" borderId="39" xfId="47" applyNumberFormat="1" applyFont="1" applyFill="1" applyBorder="1" applyAlignment="1" applyProtection="1">
      <alignment shrinkToFit="1"/>
    </xf>
    <xf numFmtId="167" fontId="16" fillId="0" borderId="42" xfId="47" applyNumberFormat="1" applyFont="1" applyFill="1" applyBorder="1" applyAlignment="1" applyProtection="1">
      <alignment shrinkToFit="1"/>
    </xf>
    <xf numFmtId="167" fontId="16" fillId="0" borderId="36" xfId="47" applyNumberFormat="1" applyFont="1" applyFill="1" applyBorder="1" applyAlignment="1" applyProtection="1">
      <alignment shrinkToFit="1"/>
    </xf>
    <xf numFmtId="167" fontId="16" fillId="0" borderId="34" xfId="47" applyNumberFormat="1" applyFont="1" applyFill="1" applyBorder="1" applyAlignment="1" applyProtection="1">
      <alignment shrinkToFit="1"/>
    </xf>
    <xf numFmtId="167" fontId="16" fillId="0" borderId="37" xfId="47" applyNumberFormat="1" applyFont="1" applyFill="1" applyBorder="1" applyAlignment="1" applyProtection="1">
      <alignment shrinkToFit="1"/>
    </xf>
    <xf numFmtId="167" fontId="16" fillId="0" borderId="46" xfId="47" applyNumberFormat="1" applyFont="1" applyFill="1" applyBorder="1" applyAlignment="1" applyProtection="1">
      <alignment shrinkToFit="1"/>
    </xf>
    <xf numFmtId="167" fontId="16" fillId="0" borderId="34" xfId="44" applyNumberFormat="1" applyFont="1" applyFill="1" applyBorder="1" applyAlignment="1" applyProtection="1">
      <alignment wrapText="1"/>
    </xf>
    <xf numFmtId="167" fontId="16" fillId="0" borderId="37" xfId="44" applyNumberFormat="1" applyFont="1" applyFill="1" applyBorder="1" applyAlignment="1" applyProtection="1">
      <alignment wrapText="1"/>
    </xf>
    <xf numFmtId="167" fontId="16" fillId="0" borderId="39" xfId="44" applyNumberFormat="1" applyFont="1" applyFill="1" applyBorder="1" applyAlignment="1" applyProtection="1">
      <alignment wrapText="1"/>
    </xf>
    <xf numFmtId="167" fontId="16" fillId="0" borderId="42" xfId="44" applyNumberFormat="1" applyFont="1" applyFill="1" applyBorder="1" applyAlignment="1" applyProtection="1">
      <alignment wrapText="1"/>
    </xf>
    <xf numFmtId="167" fontId="16" fillId="0" borderId="36" xfId="44" applyNumberFormat="1" applyFont="1" applyFill="1" applyBorder="1" applyAlignment="1" applyProtection="1">
      <alignment wrapText="1"/>
    </xf>
    <xf numFmtId="167" fontId="22" fillId="0" borderId="36" xfId="47" applyNumberFormat="1" applyFont="1" applyFill="1" applyBorder="1" applyAlignment="1" applyProtection="1">
      <alignment shrinkToFit="1"/>
    </xf>
    <xf numFmtId="167" fontId="22" fillId="0" borderId="39" xfId="47" applyNumberFormat="1" applyFont="1" applyFill="1" applyBorder="1" applyAlignment="1" applyProtection="1">
      <alignment shrinkToFit="1"/>
    </xf>
    <xf numFmtId="167" fontId="16" fillId="0" borderId="34" xfId="0" applyNumberFormat="1" applyFont="1" applyFill="1" applyBorder="1" applyAlignment="1" applyProtection="1">
      <protection locked="0"/>
    </xf>
    <xf numFmtId="167" fontId="16" fillId="0" borderId="34" xfId="47" applyNumberFormat="1" applyFont="1" applyFill="1" applyBorder="1" applyAlignment="1" applyProtection="1">
      <alignment horizontal="right" shrinkToFit="1"/>
    </xf>
    <xf numFmtId="167" fontId="19" fillId="0" borderId="1" xfId="14" applyNumberFormat="1" applyFont="1" applyFill="1" applyProtection="1"/>
    <xf numFmtId="0" fontId="16" fillId="0" borderId="38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7" fillId="0" borderId="39" xfId="32" applyNumberFormat="1" applyFont="1" applyFill="1" applyBorder="1" applyAlignment="1" applyProtection="1">
      <alignment horizont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5" fillId="0" borderId="34" xfId="32" applyNumberFormat="1" applyFont="1" applyFill="1" applyBorder="1" applyAlignment="1" applyProtection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49" fontId="27" fillId="0" borderId="47" xfId="38" applyNumberFormat="1" applyFont="1" applyFill="1" applyBorder="1" applyProtection="1">
      <alignment horizontal="center"/>
    </xf>
    <xf numFmtId="0" fontId="30" fillId="0" borderId="36" xfId="36" applyNumberFormat="1" applyFont="1" applyFill="1" applyBorder="1" applyProtection="1">
      <alignment horizontal="left" wrapText="1"/>
    </xf>
    <xf numFmtId="166" fontId="22" fillId="0" borderId="34" xfId="0" applyNumberFormat="1" applyFont="1" applyFill="1" applyBorder="1" applyProtection="1">
      <protection locked="0"/>
    </xf>
    <xf numFmtId="4" fontId="22" fillId="0" borderId="45" xfId="0" applyNumberFormat="1" applyFont="1" applyFill="1" applyBorder="1" applyAlignment="1" applyProtection="1">
      <alignment wrapText="1"/>
      <protection locked="0"/>
    </xf>
    <xf numFmtId="49" fontId="27" fillId="0" borderId="51" xfId="46" applyNumberFormat="1" applyFont="1" applyFill="1" applyBorder="1" applyProtection="1">
      <alignment horizontal="center"/>
    </xf>
    <xf numFmtId="0" fontId="27" fillId="0" borderId="37" xfId="44" applyNumberFormat="1" applyFont="1" applyFill="1" applyBorder="1" applyProtection="1">
      <alignment horizontal="left" wrapText="1" indent="2"/>
    </xf>
    <xf numFmtId="166" fontId="22" fillId="0" borderId="37" xfId="0" applyNumberFormat="1" applyFont="1" applyFill="1" applyBorder="1" applyProtection="1">
      <protection locked="0"/>
    </xf>
    <xf numFmtId="4" fontId="16" fillId="0" borderId="52" xfId="0" applyNumberFormat="1" applyFont="1" applyFill="1" applyBorder="1" applyAlignment="1" applyProtection="1">
      <alignment wrapText="1"/>
      <protection locked="0"/>
    </xf>
    <xf numFmtId="49" fontId="18" fillId="0" borderId="38" xfId="46" applyNumberFormat="1" applyFont="1" applyFill="1" applyBorder="1" applyProtection="1">
      <alignment horizontal="center"/>
    </xf>
    <xf numFmtId="0" fontId="18" fillId="0" borderId="39" xfId="44" applyNumberFormat="1" applyFont="1" applyFill="1" applyBorder="1" applyProtection="1">
      <alignment horizontal="left" wrapText="1" indent="2"/>
    </xf>
    <xf numFmtId="166" fontId="22" fillId="0" borderId="39" xfId="0" applyNumberFormat="1" applyFont="1" applyFill="1" applyBorder="1" applyProtection="1">
      <protection locked="0"/>
    </xf>
    <xf numFmtId="4" fontId="16" fillId="0" borderId="40" xfId="0" applyNumberFormat="1" applyFont="1" applyFill="1" applyBorder="1" applyAlignment="1" applyProtection="1">
      <alignment wrapText="1"/>
      <protection locked="0"/>
    </xf>
    <xf numFmtId="49" fontId="18" fillId="0" borderId="41" xfId="46" applyNumberFormat="1" applyFont="1" applyFill="1" applyBorder="1" applyProtection="1">
      <alignment horizontal="center"/>
    </xf>
    <xf numFmtId="0" fontId="18" fillId="0" borderId="42" xfId="44" applyNumberFormat="1" applyFont="1" applyFill="1" applyBorder="1" applyProtection="1">
      <alignment horizontal="left" wrapText="1" indent="2"/>
    </xf>
    <xf numFmtId="166" fontId="22" fillId="0" borderId="42" xfId="0" applyNumberFormat="1" applyFont="1" applyFill="1" applyBorder="1" applyProtection="1">
      <protection locked="0"/>
    </xf>
    <xf numFmtId="4" fontId="16" fillId="0" borderId="43" xfId="0" applyNumberFormat="1" applyFont="1" applyFill="1" applyBorder="1" applyAlignment="1" applyProtection="1">
      <alignment wrapText="1"/>
      <protection locked="0"/>
    </xf>
    <xf numFmtId="49" fontId="18" fillId="0" borderId="47" xfId="46" applyNumberFormat="1" applyFont="1" applyFill="1" applyBorder="1" applyProtection="1">
      <alignment horizontal="center"/>
    </xf>
    <xf numFmtId="0" fontId="18" fillId="0" borderId="36" xfId="44" applyNumberFormat="1" applyFont="1" applyFill="1" applyBorder="1" applyProtection="1">
      <alignment horizontal="left" wrapText="1" indent="2"/>
    </xf>
    <xf numFmtId="166" fontId="22" fillId="0" borderId="36" xfId="0" applyNumberFormat="1" applyFont="1" applyFill="1" applyBorder="1" applyProtection="1">
      <protection locked="0"/>
    </xf>
    <xf numFmtId="4" fontId="16" fillId="0" borderId="48" xfId="0" applyNumberFormat="1" applyFont="1" applyFill="1" applyBorder="1" applyAlignment="1" applyProtection="1">
      <alignment wrapText="1"/>
      <protection locked="0"/>
    </xf>
    <xf numFmtId="49" fontId="18" fillId="0" borderId="44" xfId="46" applyNumberFormat="1" applyFont="1" applyFill="1" applyBorder="1" applyProtection="1">
      <alignment horizontal="center"/>
    </xf>
    <xf numFmtId="0" fontId="18" fillId="0" borderId="34" xfId="44" applyNumberFormat="1" applyFont="1" applyFill="1" applyBorder="1" applyProtection="1">
      <alignment horizontal="left" wrapText="1" indent="2"/>
    </xf>
    <xf numFmtId="4" fontId="16" fillId="0" borderId="45" xfId="0" applyNumberFormat="1" applyFont="1" applyFill="1" applyBorder="1" applyAlignment="1" applyProtection="1">
      <alignment wrapText="1"/>
      <protection locked="0"/>
    </xf>
    <xf numFmtId="49" fontId="18" fillId="0" borderId="51" xfId="46" applyNumberFormat="1" applyFont="1" applyFill="1" applyBorder="1" applyProtection="1">
      <alignment horizontal="center"/>
    </xf>
    <xf numFmtId="0" fontId="18" fillId="0" borderId="37" xfId="44" applyNumberFormat="1" applyFont="1" applyFill="1" applyBorder="1" applyProtection="1">
      <alignment horizontal="left" wrapText="1" indent="2"/>
    </xf>
    <xf numFmtId="49" fontId="18" fillId="0" borderId="53" xfId="46" applyNumberFormat="1" applyFont="1" applyFill="1" applyBorder="1" applyProtection="1">
      <alignment horizontal="center"/>
    </xf>
    <xf numFmtId="0" fontId="18" fillId="0" borderId="46" xfId="44" applyNumberFormat="1" applyFont="1" applyFill="1" applyBorder="1" applyProtection="1">
      <alignment horizontal="left" wrapText="1" indent="2"/>
    </xf>
    <xf numFmtId="166" fontId="22" fillId="0" borderId="46" xfId="0" applyNumberFormat="1" applyFont="1" applyFill="1" applyBorder="1" applyProtection="1">
      <protection locked="0"/>
    </xf>
    <xf numFmtId="4" fontId="16" fillId="0" borderId="54" xfId="0" applyNumberFormat="1" applyFont="1" applyFill="1" applyBorder="1" applyAlignment="1" applyProtection="1">
      <alignment wrapText="1"/>
      <protection locked="0"/>
    </xf>
    <xf numFmtId="4" fontId="0" fillId="0" borderId="45" xfId="0" applyNumberFormat="1" applyFont="1" applyFill="1" applyBorder="1" applyAlignment="1" applyProtection="1">
      <alignment wrapText="1"/>
      <protection locked="0"/>
    </xf>
    <xf numFmtId="49" fontId="18" fillId="0" borderId="36" xfId="46" applyNumberFormat="1" applyFont="1" applyFill="1" applyBorder="1" applyProtection="1">
      <alignment horizontal="center"/>
    </xf>
    <xf numFmtId="4" fontId="16" fillId="0" borderId="36" xfId="0" applyNumberFormat="1" applyFont="1" applyFill="1" applyBorder="1" applyAlignment="1" applyProtection="1">
      <alignment wrapText="1"/>
      <protection locked="0"/>
    </xf>
    <xf numFmtId="49" fontId="18" fillId="0" borderId="34" xfId="46" applyNumberFormat="1" applyFont="1" applyFill="1" applyBorder="1" applyProtection="1">
      <alignment horizontal="center"/>
    </xf>
    <xf numFmtId="4" fontId="16" fillId="0" borderId="34" xfId="0" applyNumberFormat="1" applyFont="1" applyFill="1" applyBorder="1" applyAlignment="1" applyProtection="1">
      <alignment wrapText="1"/>
      <protection locked="0"/>
    </xf>
    <xf numFmtId="49" fontId="18" fillId="0" borderId="37" xfId="46" applyNumberFormat="1" applyFont="1" applyFill="1" applyBorder="1" applyProtection="1">
      <alignment horizontal="center"/>
    </xf>
    <xf numFmtId="4" fontId="16" fillId="0" borderId="37" xfId="0" applyNumberFormat="1" applyFont="1" applyFill="1" applyBorder="1" applyAlignment="1" applyProtection="1">
      <alignment wrapText="1"/>
      <protection locked="0"/>
    </xf>
    <xf numFmtId="49" fontId="27" fillId="0" borderId="36" xfId="46" applyNumberFormat="1" applyFont="1" applyFill="1" applyBorder="1" applyProtection="1">
      <alignment horizontal="center"/>
    </xf>
    <xf numFmtId="0" fontId="27" fillId="0" borderId="36" xfId="44" applyNumberFormat="1" applyFont="1" applyFill="1" applyBorder="1" applyProtection="1">
      <alignment horizontal="left" wrapText="1" indent="2"/>
    </xf>
    <xf numFmtId="49" fontId="27" fillId="0" borderId="38" xfId="46" applyNumberFormat="1" applyFont="1" applyFill="1" applyBorder="1" applyProtection="1">
      <alignment horizontal="center"/>
    </xf>
    <xf numFmtId="0" fontId="27" fillId="0" borderId="39" xfId="44" applyNumberFormat="1" applyFont="1" applyFill="1" applyBorder="1" applyProtection="1">
      <alignment horizontal="left" wrapText="1" indent="2"/>
    </xf>
    <xf numFmtId="0" fontId="31" fillId="0" borderId="36" xfId="44" applyNumberFormat="1" applyFont="1" applyFill="1" applyBorder="1" applyProtection="1">
      <alignment horizontal="left" wrapText="1" indent="2"/>
    </xf>
    <xf numFmtId="1" fontId="18" fillId="0" borderId="44" xfId="42" applyNumberFormat="1" applyFont="1" applyFill="1" applyBorder="1" applyAlignment="1" applyProtection="1">
      <alignment horizontal="center" vertical="center" shrinkToFit="1"/>
    </xf>
    <xf numFmtId="1" fontId="18" fillId="0" borderId="34" xfId="42" applyNumberFormat="1" applyFont="1" applyFill="1" applyBorder="1" applyAlignment="1" applyProtection="1">
      <alignment horizontal="left" vertical="center" wrapText="1" shrinkToFit="1"/>
    </xf>
    <xf numFmtId="49" fontId="18" fillId="0" borderId="49" xfId="46" applyNumberFormat="1" applyFont="1" applyFill="1" applyBorder="1" applyProtection="1">
      <alignment horizontal="center"/>
    </xf>
    <xf numFmtId="4" fontId="16" fillId="0" borderId="50" xfId="0" applyNumberFormat="1" applyFont="1" applyFill="1" applyBorder="1" applyAlignment="1" applyProtection="1">
      <alignment wrapText="1"/>
      <protection locked="0"/>
    </xf>
    <xf numFmtId="0" fontId="29" fillId="0" borderId="1" xfId="2" applyNumberFormat="1" applyFont="1" applyFill="1" applyAlignment="1" applyProtection="1">
      <alignment horizontal="center"/>
    </xf>
    <xf numFmtId="49" fontId="18" fillId="0" borderId="1" xfId="30" applyNumberFormat="1" applyFont="1" applyFill="1" applyBorder="1" applyProtection="1">
      <alignment horizontal="center" vertical="top" wrapText="1"/>
    </xf>
    <xf numFmtId="0" fontId="15" fillId="0" borderId="1" xfId="31" applyNumberFormat="1" applyFont="1" applyFill="1" applyBorder="1" applyProtection="1"/>
    <xf numFmtId="4" fontId="16" fillId="0" borderId="55" xfId="0" applyNumberFormat="1" applyFont="1" applyFill="1" applyBorder="1" applyAlignment="1" applyProtection="1">
      <alignment horizontal="left" wrapText="1"/>
      <protection locked="0"/>
    </xf>
    <xf numFmtId="4" fontId="16" fillId="0" borderId="56" xfId="0" applyNumberFormat="1" applyFont="1" applyFill="1" applyBorder="1" applyAlignment="1" applyProtection="1">
      <alignment horizontal="left" wrapText="1"/>
      <protection locked="0"/>
    </xf>
    <xf numFmtId="4" fontId="16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48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45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43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34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55" xfId="0" applyNumberFormat="1" applyFont="1" applyFill="1" applyBorder="1" applyAlignment="1" applyProtection="1">
      <alignment wrapText="1"/>
      <protection locked="0"/>
    </xf>
    <xf numFmtId="0" fontId="16" fillId="0" borderId="57" xfId="0" applyFont="1" applyFill="1" applyBorder="1" applyAlignment="1">
      <alignment horizontal="left" vertical="center" wrapText="1"/>
    </xf>
    <xf numFmtId="0" fontId="16" fillId="0" borderId="50" xfId="0" applyFont="1" applyFill="1" applyBorder="1" applyAlignment="1">
      <alignment horizontal="left" vertical="center" wrapText="1"/>
    </xf>
    <xf numFmtId="0" fontId="16" fillId="0" borderId="58" xfId="0" applyFont="1" applyFill="1" applyBorder="1" applyAlignment="1">
      <alignment horizontal="left" vertical="center" wrapText="1"/>
    </xf>
    <xf numFmtId="4" fontId="16" fillId="0" borderId="37" xfId="0" applyNumberFormat="1" applyFont="1" applyFill="1" applyBorder="1" applyAlignment="1" applyProtection="1">
      <alignment horizontal="center" wrapText="1"/>
      <protection locked="0"/>
    </xf>
    <xf numFmtId="4" fontId="16" fillId="0" borderId="36" xfId="0" applyNumberFormat="1" applyFont="1" applyFill="1" applyBorder="1" applyAlignment="1" applyProtection="1">
      <alignment horizontal="center" wrapText="1"/>
      <protection locked="0"/>
    </xf>
  </cellXfs>
  <cellStyles count="193">
    <cellStyle name="20% - Акцент1 2" xfId="144"/>
    <cellStyle name="20% - Акцент1 3" xfId="145"/>
    <cellStyle name="20% - Акцент1 4" xfId="146"/>
    <cellStyle name="20% - Акцент2 2" xfId="147"/>
    <cellStyle name="20% - Акцент2 3" xfId="148"/>
    <cellStyle name="20% - Акцент2 4" xfId="149"/>
    <cellStyle name="20% - Акцент3 2" xfId="150"/>
    <cellStyle name="20% - Акцент3 3" xfId="151"/>
    <cellStyle name="20% - Акцент3 4" xfId="152"/>
    <cellStyle name="20% - Акцент4 2" xfId="153"/>
    <cellStyle name="20% - Акцент4 3" xfId="154"/>
    <cellStyle name="20% - Акцент4 4" xfId="155"/>
    <cellStyle name="20% - Акцент5 2" xfId="156"/>
    <cellStyle name="20% - Акцент5 3" xfId="157"/>
    <cellStyle name="20% - Акцент5 4" xfId="158"/>
    <cellStyle name="20% - Акцент6 2" xfId="159"/>
    <cellStyle name="20% - Акцент6 3" xfId="160"/>
    <cellStyle name="20% - Акцент6 4" xfId="161"/>
    <cellStyle name="40% - Акцент1 2" xfId="162"/>
    <cellStyle name="40% - Акцент1 3" xfId="163"/>
    <cellStyle name="40% - Акцент1 4" xfId="164"/>
    <cellStyle name="40% - Акцент2 2" xfId="165"/>
    <cellStyle name="40% - Акцент2 3" xfId="166"/>
    <cellStyle name="40% - Акцент2 4" xfId="167"/>
    <cellStyle name="40% - Акцент3 2" xfId="168"/>
    <cellStyle name="40% - Акцент3 3" xfId="169"/>
    <cellStyle name="40% - Акцент3 4" xfId="170"/>
    <cellStyle name="40% - Акцент4 2" xfId="171"/>
    <cellStyle name="40% - Акцент4 3" xfId="172"/>
    <cellStyle name="40% - Акцент4 4" xfId="173"/>
    <cellStyle name="40% - Акцент5 2" xfId="174"/>
    <cellStyle name="40% - Акцент5 3" xfId="175"/>
    <cellStyle name="40% - Акцент5 4" xfId="176"/>
    <cellStyle name="40% - Акцент6 2" xfId="177"/>
    <cellStyle name="40% - Акцент6 3" xfId="178"/>
    <cellStyle name="40% - Акцент6 4" xfId="179"/>
    <cellStyle name="br" xfId="137"/>
    <cellStyle name="col" xfId="136"/>
    <cellStyle name="st140" xfId="133"/>
    <cellStyle name="style0" xfId="138"/>
    <cellStyle name="td" xfId="139"/>
    <cellStyle name="tr" xfId="135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6"/>
    <cellStyle name="xl124" xfId="114"/>
    <cellStyle name="xl125" xfId="116"/>
    <cellStyle name="xl126" xfId="120"/>
    <cellStyle name="xl127" xfId="129"/>
    <cellStyle name="xl128" xfId="132"/>
    <cellStyle name="xl129" xfId="134"/>
    <cellStyle name="xl130" xfId="101"/>
    <cellStyle name="xl131" xfId="107"/>
    <cellStyle name="xl132" xfId="112"/>
    <cellStyle name="xl133" xfId="115"/>
    <cellStyle name="xl134" xfId="117"/>
    <cellStyle name="xl135" xfId="121"/>
    <cellStyle name="xl136" xfId="113"/>
    <cellStyle name="xl137" xfId="123"/>
    <cellStyle name="xl138" xfId="125"/>
    <cellStyle name="xl139" xfId="127"/>
    <cellStyle name="xl140" xfId="128"/>
    <cellStyle name="xl141" xfId="130"/>
    <cellStyle name="xl142" xfId="102"/>
    <cellStyle name="xl143" xfId="108"/>
    <cellStyle name="xl144" xfId="118"/>
    <cellStyle name="xl145" xfId="124"/>
    <cellStyle name="xl146" xfId="126"/>
    <cellStyle name="xl147" xfId="103"/>
    <cellStyle name="xl148" xfId="109"/>
    <cellStyle name="xl149" xfId="119"/>
    <cellStyle name="xl150" xfId="104"/>
    <cellStyle name="xl151" xfId="110"/>
    <cellStyle name="xl152" xfId="105"/>
    <cellStyle name="xl153" xfId="111"/>
    <cellStyle name="xl154" xfId="122"/>
    <cellStyle name="xl155" xfId="141"/>
    <cellStyle name="xl21" xfId="140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31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Название 2" xfId="180"/>
    <cellStyle name="Обычный" xfId="0" builtinId="0"/>
    <cellStyle name="Обычный 2" xfId="142"/>
    <cellStyle name="Обычный 3" xfId="181"/>
    <cellStyle name="Обычный 4" xfId="182"/>
    <cellStyle name="Обычный 5" xfId="183"/>
    <cellStyle name="Обычный 6" xfId="184"/>
    <cellStyle name="Обычный 7" xfId="185"/>
    <cellStyle name="Обычный 8" xfId="186"/>
    <cellStyle name="Обычный 9" xfId="143"/>
    <cellStyle name="Примечание 2" xfId="187"/>
    <cellStyle name="Примечание 3" xfId="188"/>
    <cellStyle name="Примечание 4" xfId="189"/>
    <cellStyle name="Примечание 5" xfId="190"/>
    <cellStyle name="Процентный 2" xfId="191"/>
    <cellStyle name="Финансовый 2" xfId="19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0"/>
  <sheetViews>
    <sheetView tabSelected="1" topLeftCell="A99" zoomScale="90" zoomScaleNormal="90" zoomScaleSheetLayoutView="100" workbookViewId="0">
      <pane xSplit="1" topLeftCell="B1" activePane="topRight" state="frozen"/>
      <selection pane="topRight" activeCell="O102" sqref="O102"/>
    </sheetView>
  </sheetViews>
  <sheetFormatPr defaultColWidth="9.140625" defaultRowHeight="15" x14ac:dyDescent="0.25"/>
  <cols>
    <col min="1" max="1" width="24" style="6" customWidth="1"/>
    <col min="2" max="2" width="33" style="6" customWidth="1"/>
    <col min="3" max="9" width="17.42578125" style="6" customWidth="1"/>
    <col min="10" max="10" width="17.42578125" style="6" hidden="1" customWidth="1"/>
    <col min="11" max="11" width="21.140625" style="6" customWidth="1"/>
    <col min="12" max="12" width="22.85546875" style="6" customWidth="1"/>
    <col min="13" max="14" width="12.5703125" style="9" bestFit="1" customWidth="1"/>
    <col min="15" max="15" width="85.140625" style="8" customWidth="1"/>
    <col min="16" max="16" width="9.140625" style="6"/>
    <col min="17" max="17" width="12" style="6" customWidth="1"/>
    <col min="18" max="16384" width="9.140625" style="6"/>
  </cols>
  <sheetData>
    <row r="1" spans="1:15" ht="16.5" customHeight="1" x14ac:dyDescent="0.25">
      <c r="A1" s="1"/>
      <c r="B1" s="1"/>
      <c r="C1" s="10"/>
      <c r="D1" s="10"/>
      <c r="E1" s="10"/>
      <c r="F1" s="10"/>
      <c r="G1" s="10"/>
      <c r="H1" s="10"/>
      <c r="I1" s="10"/>
      <c r="J1" s="10"/>
      <c r="K1" s="1"/>
      <c r="L1" s="1"/>
    </row>
    <row r="2" spans="1:15" ht="31.5" customHeight="1" x14ac:dyDescent="0.25">
      <c r="A2" s="86" t="s">
        <v>305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12.9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87"/>
      <c r="L3" s="88"/>
    </row>
    <row r="4" spans="1:15" ht="89.25" customHeight="1" x14ac:dyDescent="0.25">
      <c r="A4" s="31" t="s">
        <v>222</v>
      </c>
      <c r="B4" s="32" t="s">
        <v>216</v>
      </c>
      <c r="C4" s="11" t="s">
        <v>306</v>
      </c>
      <c r="D4" s="11" t="s">
        <v>318</v>
      </c>
      <c r="E4" s="11" t="s">
        <v>319</v>
      </c>
      <c r="F4" s="11" t="s">
        <v>320</v>
      </c>
      <c r="G4" s="11" t="s">
        <v>321</v>
      </c>
      <c r="H4" s="11" t="s">
        <v>322</v>
      </c>
      <c r="I4" s="11" t="s">
        <v>326</v>
      </c>
      <c r="J4" s="11" t="s">
        <v>292</v>
      </c>
      <c r="K4" s="11" t="s">
        <v>327</v>
      </c>
      <c r="L4" s="33" t="s">
        <v>223</v>
      </c>
      <c r="M4" s="34" t="s">
        <v>224</v>
      </c>
      <c r="N4" s="34" t="s">
        <v>225</v>
      </c>
      <c r="O4" s="35" t="s">
        <v>226</v>
      </c>
    </row>
    <row r="5" spans="1:15" s="7" customFormat="1" ht="19.5" customHeight="1" x14ac:dyDescent="0.25">
      <c r="A5" s="36">
        <v>1</v>
      </c>
      <c r="B5" s="37">
        <v>2</v>
      </c>
      <c r="C5" s="12">
        <v>3</v>
      </c>
      <c r="D5" s="12"/>
      <c r="E5" s="12"/>
      <c r="F5" s="12"/>
      <c r="G5" s="12"/>
      <c r="H5" s="12"/>
      <c r="I5" s="12"/>
      <c r="J5" s="12"/>
      <c r="K5" s="12"/>
      <c r="L5" s="38"/>
      <c r="M5" s="39"/>
      <c r="N5" s="39"/>
      <c r="O5" s="40">
        <v>8</v>
      </c>
    </row>
    <row r="6" spans="1:15" s="4" customFormat="1" ht="18.75" customHeight="1" x14ac:dyDescent="0.25">
      <c r="A6" s="41"/>
      <c r="B6" s="42" t="s">
        <v>217</v>
      </c>
      <c r="C6" s="13">
        <f>C7+C102</f>
        <v>1812245.3030900001</v>
      </c>
      <c r="D6" s="13">
        <f>D7+D102</f>
        <v>1841245.3030900001</v>
      </c>
      <c r="E6" s="13">
        <f>E7+E102</f>
        <v>1844500.0078100001</v>
      </c>
      <c r="F6" s="13">
        <f>F7+F102</f>
        <v>1837073.4500200001</v>
      </c>
      <c r="G6" s="13">
        <f>G7+G102</f>
        <v>2070799.9946000001</v>
      </c>
      <c r="H6" s="13">
        <f>H7+H102</f>
        <v>2231200.3659300003</v>
      </c>
      <c r="I6" s="13">
        <f>I7+I102</f>
        <v>2392776.98208</v>
      </c>
      <c r="J6" s="13">
        <f>J7+J102</f>
        <v>2365739.2960400004</v>
      </c>
      <c r="K6" s="13">
        <f>K7+K102</f>
        <v>2378037.8130200002</v>
      </c>
      <c r="L6" s="13">
        <f>L7+L102</f>
        <v>2407866.6174299996</v>
      </c>
      <c r="M6" s="43">
        <f>L6/C6</f>
        <v>1.3286648409707147</v>
      </c>
      <c r="N6" s="43">
        <f>L6/K6</f>
        <v>1.0125434525248858</v>
      </c>
      <c r="O6" s="44"/>
    </row>
    <row r="7" spans="1:15" s="4" customFormat="1" ht="79.5" thickBot="1" x14ac:dyDescent="0.3">
      <c r="A7" s="45" t="s">
        <v>1</v>
      </c>
      <c r="B7" s="46" t="s">
        <v>0</v>
      </c>
      <c r="C7" s="14">
        <f>C8+C14+C24+C33+C41+C48+C55+C71+C78+C84+C94+C97</f>
        <v>838040</v>
      </c>
      <c r="D7" s="14">
        <f>D8+D14+D24+D33+D41+D48+D55+D71+D78+D84+D94+D97</f>
        <v>858040</v>
      </c>
      <c r="E7" s="14">
        <f>E8+E14+E24+E33+E41+E48+E55+E71+E78+E84+E94+E97</f>
        <v>858040</v>
      </c>
      <c r="F7" s="14">
        <f>F8+F14+F24+F33+F41+F48+F55+F71+F78+F84+F94+F97</f>
        <v>851709.46475000004</v>
      </c>
      <c r="G7" s="14">
        <f>G8+G14+G24+G33+G41+G48+G55+G71+G78+G84+G94+G97</f>
        <v>851709.46475000004</v>
      </c>
      <c r="H7" s="14">
        <f>H8+H14+H24+H33+H41+H48+H55+H71+H78+H84+H94+H97</f>
        <v>951709.46475000004</v>
      </c>
      <c r="I7" s="14">
        <f>I8+I14+I24+I33+I41+I48+I55+I71+I78+I84+I94+I97</f>
        <v>915709.46475000004</v>
      </c>
      <c r="J7" s="14">
        <f>J8+J14+J24+J33+J41+J48+J55+J71+J78+J84+J94+J97</f>
        <v>915709.46475000004</v>
      </c>
      <c r="K7" s="14">
        <f>K8+K14+K24+K33+K41+K48+K55+K71+K78+K84+K94+K97</f>
        <v>915709.46475000004</v>
      </c>
      <c r="L7" s="14">
        <f>L8+L14+L24+L33+L41+L48+L55+L71+L78+L84+L94+L97</f>
        <v>990111.41613999987</v>
      </c>
      <c r="M7" s="47">
        <f>L7/C7</f>
        <v>1.1814608087203473</v>
      </c>
      <c r="N7" s="43">
        <f t="shared" ref="N7:N73" si="0">L7/K7</f>
        <v>1.0812506086854878</v>
      </c>
      <c r="O7" s="48" t="s">
        <v>344</v>
      </c>
    </row>
    <row r="8" spans="1:15" ht="15.75" x14ac:dyDescent="0.25">
      <c r="A8" s="49" t="s">
        <v>3</v>
      </c>
      <c r="B8" s="50" t="s">
        <v>2</v>
      </c>
      <c r="C8" s="15">
        <f t="shared" ref="C8:L8" si="1">C9</f>
        <v>691390</v>
      </c>
      <c r="D8" s="15">
        <f t="shared" si="1"/>
        <v>691390</v>
      </c>
      <c r="E8" s="15">
        <f t="shared" si="1"/>
        <v>691390</v>
      </c>
      <c r="F8" s="15">
        <f t="shared" si="1"/>
        <v>691390</v>
      </c>
      <c r="G8" s="15">
        <f t="shared" si="1"/>
        <v>691390</v>
      </c>
      <c r="H8" s="15">
        <f>H9</f>
        <v>791390</v>
      </c>
      <c r="I8" s="15">
        <f>I9</f>
        <v>755390</v>
      </c>
      <c r="J8" s="15">
        <f t="shared" si="1"/>
        <v>755390</v>
      </c>
      <c r="K8" s="15">
        <f t="shared" si="1"/>
        <v>755390</v>
      </c>
      <c r="L8" s="15">
        <f t="shared" si="1"/>
        <v>809521.66298000002</v>
      </c>
      <c r="M8" s="51">
        <f>L8/C8</f>
        <v>1.1708611101982962</v>
      </c>
      <c r="N8" s="43">
        <f t="shared" si="0"/>
        <v>1.0716605501529011</v>
      </c>
      <c r="O8" s="89" t="s">
        <v>343</v>
      </c>
    </row>
    <row r="9" spans="1:15" ht="133.5" customHeight="1" thickBot="1" x14ac:dyDescent="0.3">
      <c r="A9" s="53" t="s">
        <v>5</v>
      </c>
      <c r="B9" s="54" t="s">
        <v>4</v>
      </c>
      <c r="C9" s="16">
        <v>691390</v>
      </c>
      <c r="D9" s="16">
        <f>C9</f>
        <v>691390</v>
      </c>
      <c r="E9" s="16">
        <f>D9</f>
        <v>691390</v>
      </c>
      <c r="F9" s="16">
        <f>E9</f>
        <v>691390</v>
      </c>
      <c r="G9" s="16">
        <f>F9</f>
        <v>691390</v>
      </c>
      <c r="H9" s="16">
        <f>G9+100000</f>
        <v>791390</v>
      </c>
      <c r="I9" s="16">
        <f>H9-36000</f>
        <v>755390</v>
      </c>
      <c r="J9" s="16">
        <f>I9</f>
        <v>755390</v>
      </c>
      <c r="K9" s="16">
        <f>J9</f>
        <v>755390</v>
      </c>
      <c r="L9" s="16">
        <v>809521.66298000002</v>
      </c>
      <c r="M9" s="55">
        <f>L9/C9</f>
        <v>1.1708611101982962</v>
      </c>
      <c r="N9" s="43">
        <f t="shared" si="0"/>
        <v>1.0716605501529011</v>
      </c>
      <c r="O9" s="90"/>
    </row>
    <row r="10" spans="1:15" ht="91.5" hidden="1" thickBot="1" x14ac:dyDescent="0.3">
      <c r="A10" s="57" t="s">
        <v>7</v>
      </c>
      <c r="B10" s="58" t="s">
        <v>6</v>
      </c>
      <c r="C10" s="17">
        <v>523788.92099999997</v>
      </c>
      <c r="D10" s="17">
        <v>523788.92099999997</v>
      </c>
      <c r="E10" s="17">
        <v>523788.92099999997</v>
      </c>
      <c r="F10" s="17">
        <v>523788.92099999997</v>
      </c>
      <c r="G10" s="17">
        <f>F10</f>
        <v>523788.92099999997</v>
      </c>
      <c r="H10" s="17"/>
      <c r="I10" s="17"/>
      <c r="J10" s="17"/>
      <c r="K10" s="17"/>
      <c r="L10" s="17"/>
      <c r="M10" s="59">
        <f>L10/C10</f>
        <v>0</v>
      </c>
      <c r="N10" s="43" t="e">
        <f t="shared" si="0"/>
        <v>#DIV/0!</v>
      </c>
      <c r="O10" s="60"/>
    </row>
    <row r="11" spans="1:15" ht="96.75" hidden="1" customHeight="1" x14ac:dyDescent="0.25">
      <c r="A11" s="61" t="s">
        <v>9</v>
      </c>
      <c r="B11" s="62" t="s">
        <v>8</v>
      </c>
      <c r="C11" s="18">
        <v>3440</v>
      </c>
      <c r="D11" s="18">
        <v>3440</v>
      </c>
      <c r="E11" s="18">
        <v>3440</v>
      </c>
      <c r="F11" s="18">
        <v>3440</v>
      </c>
      <c r="G11" s="17">
        <f t="shared" ref="G11:G13" si="2">F11</f>
        <v>3440</v>
      </c>
      <c r="H11" s="17"/>
      <c r="I11" s="17"/>
      <c r="J11" s="18"/>
      <c r="K11" s="18"/>
      <c r="L11" s="18"/>
      <c r="M11" s="43">
        <f>L11/C11</f>
        <v>0</v>
      </c>
      <c r="N11" s="43" t="e">
        <f t="shared" si="0"/>
        <v>#DIV/0!</v>
      </c>
      <c r="O11" s="63"/>
    </row>
    <row r="12" spans="1:15" ht="57.75" hidden="1" thickBot="1" x14ac:dyDescent="0.3">
      <c r="A12" s="61" t="s">
        <v>11</v>
      </c>
      <c r="B12" s="62" t="s">
        <v>10</v>
      </c>
      <c r="C12" s="18">
        <v>2420</v>
      </c>
      <c r="D12" s="18">
        <v>2420</v>
      </c>
      <c r="E12" s="18">
        <v>2420</v>
      </c>
      <c r="F12" s="18">
        <v>2420</v>
      </c>
      <c r="G12" s="17">
        <f t="shared" si="2"/>
        <v>2420</v>
      </c>
      <c r="H12" s="17"/>
      <c r="I12" s="17"/>
      <c r="J12" s="18"/>
      <c r="K12" s="18"/>
      <c r="L12" s="18"/>
      <c r="M12" s="43">
        <f>L12/C12</f>
        <v>0</v>
      </c>
      <c r="N12" s="43" t="e">
        <f t="shared" si="0"/>
        <v>#DIV/0!</v>
      </c>
      <c r="O12" s="63"/>
    </row>
    <row r="13" spans="1:15" ht="114" hidden="1" thickBot="1" x14ac:dyDescent="0.3">
      <c r="A13" s="64" t="s">
        <v>13</v>
      </c>
      <c r="B13" s="65" t="s">
        <v>12</v>
      </c>
      <c r="C13" s="19">
        <v>401</v>
      </c>
      <c r="D13" s="19">
        <v>401</v>
      </c>
      <c r="E13" s="19">
        <v>401</v>
      </c>
      <c r="F13" s="19">
        <v>401</v>
      </c>
      <c r="G13" s="17">
        <f t="shared" si="2"/>
        <v>401</v>
      </c>
      <c r="H13" s="20"/>
      <c r="I13" s="20"/>
      <c r="J13" s="19"/>
      <c r="K13" s="19"/>
      <c r="L13" s="19"/>
      <c r="M13" s="47">
        <f>L13/C13</f>
        <v>0</v>
      </c>
      <c r="N13" s="43" t="e">
        <f t="shared" si="0"/>
        <v>#DIV/0!</v>
      </c>
      <c r="O13" s="48"/>
    </row>
    <row r="14" spans="1:15" ht="45.75" x14ac:dyDescent="0.25">
      <c r="A14" s="49" t="s">
        <v>15</v>
      </c>
      <c r="B14" s="50" t="s">
        <v>14</v>
      </c>
      <c r="C14" s="15">
        <f t="shared" ref="C14:L14" si="3">C15</f>
        <v>17500</v>
      </c>
      <c r="D14" s="15">
        <f t="shared" si="3"/>
        <v>17500</v>
      </c>
      <c r="E14" s="15">
        <f t="shared" si="3"/>
        <v>17500</v>
      </c>
      <c r="F14" s="15">
        <f t="shared" si="3"/>
        <v>17500</v>
      </c>
      <c r="G14" s="15">
        <f t="shared" si="3"/>
        <v>17500</v>
      </c>
      <c r="H14" s="15">
        <f>H15</f>
        <v>17500</v>
      </c>
      <c r="I14" s="15">
        <f>I15</f>
        <v>17500</v>
      </c>
      <c r="J14" s="15">
        <f t="shared" si="3"/>
        <v>17500</v>
      </c>
      <c r="K14" s="15">
        <f t="shared" si="3"/>
        <v>19000</v>
      </c>
      <c r="L14" s="15">
        <f t="shared" si="3"/>
        <v>20911.00532</v>
      </c>
      <c r="M14" s="51">
        <f>L14/C14</f>
        <v>1.1949145897142857</v>
      </c>
      <c r="N14" s="43">
        <f t="shared" si="0"/>
        <v>1.100579227368421</v>
      </c>
      <c r="O14" s="91" t="s">
        <v>275</v>
      </c>
    </row>
    <row r="15" spans="1:15" ht="35.25" thickBot="1" x14ac:dyDescent="0.3">
      <c r="A15" s="53" t="s">
        <v>17</v>
      </c>
      <c r="B15" s="54" t="s">
        <v>16</v>
      </c>
      <c r="C15" s="16">
        <v>17500</v>
      </c>
      <c r="D15" s="16">
        <f t="shared" ref="D15:J15" si="4">C15</f>
        <v>17500</v>
      </c>
      <c r="E15" s="16">
        <f t="shared" si="4"/>
        <v>17500</v>
      </c>
      <c r="F15" s="16">
        <f t="shared" si="4"/>
        <v>17500</v>
      </c>
      <c r="G15" s="16">
        <f t="shared" si="4"/>
        <v>17500</v>
      </c>
      <c r="H15" s="16">
        <f t="shared" si="4"/>
        <v>17500</v>
      </c>
      <c r="I15" s="16">
        <f t="shared" si="4"/>
        <v>17500</v>
      </c>
      <c r="J15" s="16">
        <f t="shared" si="4"/>
        <v>17500</v>
      </c>
      <c r="K15" s="16">
        <f>J15+1500</f>
        <v>19000</v>
      </c>
      <c r="L15" s="16">
        <v>20911.00532</v>
      </c>
      <c r="M15" s="55">
        <f>L15/C15</f>
        <v>1.1949145897142857</v>
      </c>
      <c r="N15" s="43">
        <f t="shared" si="0"/>
        <v>1.100579227368421</v>
      </c>
      <c r="O15" s="93"/>
    </row>
    <row r="16" spans="1:15" ht="91.5" hidden="1" thickBot="1" x14ac:dyDescent="0.3">
      <c r="A16" s="57" t="s">
        <v>19</v>
      </c>
      <c r="B16" s="58" t="s">
        <v>18</v>
      </c>
      <c r="C16" s="17">
        <v>5000</v>
      </c>
      <c r="D16" s="17">
        <v>5000</v>
      </c>
      <c r="E16" s="17">
        <v>5000</v>
      </c>
      <c r="F16" s="17">
        <v>5000</v>
      </c>
      <c r="G16" s="17">
        <v>5000</v>
      </c>
      <c r="H16" s="17"/>
      <c r="I16" s="17"/>
      <c r="J16" s="17">
        <v>5000</v>
      </c>
      <c r="K16" s="17">
        <v>5000</v>
      </c>
      <c r="L16" s="17">
        <v>5000</v>
      </c>
      <c r="M16" s="59">
        <f>L16/C16</f>
        <v>1</v>
      </c>
      <c r="N16" s="43">
        <f t="shared" si="0"/>
        <v>1</v>
      </c>
      <c r="O16" s="60"/>
    </row>
    <row r="17" spans="1:15" ht="93" hidden="1" customHeight="1" x14ac:dyDescent="0.25">
      <c r="A17" s="61" t="s">
        <v>21</v>
      </c>
      <c r="B17" s="62" t="s">
        <v>20</v>
      </c>
      <c r="C17" s="18">
        <v>5000</v>
      </c>
      <c r="D17" s="18">
        <v>5000</v>
      </c>
      <c r="E17" s="18">
        <v>5000</v>
      </c>
      <c r="F17" s="18">
        <v>5000</v>
      </c>
      <c r="G17" s="18">
        <v>5000</v>
      </c>
      <c r="H17" s="18"/>
      <c r="I17" s="18"/>
      <c r="J17" s="18">
        <v>5000</v>
      </c>
      <c r="K17" s="18">
        <v>5000</v>
      </c>
      <c r="L17" s="18">
        <v>5000</v>
      </c>
      <c r="M17" s="43">
        <f>L17/C17</f>
        <v>1</v>
      </c>
      <c r="N17" s="43">
        <f t="shared" si="0"/>
        <v>1</v>
      </c>
      <c r="O17" s="63"/>
    </row>
    <row r="18" spans="1:15" ht="114" hidden="1" thickBot="1" x14ac:dyDescent="0.3">
      <c r="A18" s="61" t="s">
        <v>23</v>
      </c>
      <c r="B18" s="62" t="s">
        <v>22</v>
      </c>
      <c r="C18" s="18">
        <v>50</v>
      </c>
      <c r="D18" s="18">
        <v>50</v>
      </c>
      <c r="E18" s="18">
        <v>50</v>
      </c>
      <c r="F18" s="18">
        <v>50</v>
      </c>
      <c r="G18" s="18">
        <v>50</v>
      </c>
      <c r="H18" s="18"/>
      <c r="I18" s="18"/>
      <c r="J18" s="18">
        <v>50</v>
      </c>
      <c r="K18" s="18">
        <v>50</v>
      </c>
      <c r="L18" s="18">
        <v>50</v>
      </c>
      <c r="M18" s="43">
        <f>L18/C18</f>
        <v>1</v>
      </c>
      <c r="N18" s="43">
        <f t="shared" si="0"/>
        <v>1</v>
      </c>
      <c r="O18" s="63"/>
    </row>
    <row r="19" spans="1:15" ht="170.25" hidden="1" thickBot="1" x14ac:dyDescent="0.3">
      <c r="A19" s="61" t="s">
        <v>25</v>
      </c>
      <c r="B19" s="62" t="s">
        <v>24</v>
      </c>
      <c r="C19" s="18">
        <v>50</v>
      </c>
      <c r="D19" s="18">
        <v>50</v>
      </c>
      <c r="E19" s="18">
        <v>50</v>
      </c>
      <c r="F19" s="18">
        <v>50</v>
      </c>
      <c r="G19" s="18">
        <v>50</v>
      </c>
      <c r="H19" s="18"/>
      <c r="I19" s="18"/>
      <c r="J19" s="18">
        <v>50</v>
      </c>
      <c r="K19" s="18">
        <v>50</v>
      </c>
      <c r="L19" s="18">
        <v>50</v>
      </c>
      <c r="M19" s="43">
        <f>L19/C19</f>
        <v>1</v>
      </c>
      <c r="N19" s="43">
        <f t="shared" si="0"/>
        <v>1</v>
      </c>
      <c r="O19" s="63"/>
    </row>
    <row r="20" spans="1:15" ht="91.5" hidden="1" thickBot="1" x14ac:dyDescent="0.3">
      <c r="A20" s="61" t="s">
        <v>27</v>
      </c>
      <c r="B20" s="62" t="s">
        <v>26</v>
      </c>
      <c r="C20" s="18">
        <v>7085</v>
      </c>
      <c r="D20" s="18">
        <v>7085</v>
      </c>
      <c r="E20" s="18">
        <v>7085</v>
      </c>
      <c r="F20" s="18">
        <v>7085</v>
      </c>
      <c r="G20" s="18">
        <v>7085</v>
      </c>
      <c r="H20" s="18"/>
      <c r="I20" s="18"/>
      <c r="J20" s="18">
        <v>7085</v>
      </c>
      <c r="K20" s="18">
        <v>7085</v>
      </c>
      <c r="L20" s="18">
        <v>7085</v>
      </c>
      <c r="M20" s="43">
        <f>L20/C20</f>
        <v>1</v>
      </c>
      <c r="N20" s="43">
        <f t="shared" si="0"/>
        <v>1</v>
      </c>
      <c r="O20" s="63"/>
    </row>
    <row r="21" spans="1:15" ht="147.75" hidden="1" thickBot="1" x14ac:dyDescent="0.3">
      <c r="A21" s="61" t="s">
        <v>29</v>
      </c>
      <c r="B21" s="62" t="s">
        <v>28</v>
      </c>
      <c r="C21" s="18">
        <v>7085</v>
      </c>
      <c r="D21" s="18">
        <v>7085</v>
      </c>
      <c r="E21" s="18">
        <v>7085</v>
      </c>
      <c r="F21" s="18">
        <v>7085</v>
      </c>
      <c r="G21" s="18">
        <v>7085</v>
      </c>
      <c r="H21" s="18"/>
      <c r="I21" s="18"/>
      <c r="J21" s="18">
        <v>7085</v>
      </c>
      <c r="K21" s="18">
        <v>7085</v>
      </c>
      <c r="L21" s="18">
        <v>7085</v>
      </c>
      <c r="M21" s="43">
        <f>L21/C21</f>
        <v>1</v>
      </c>
      <c r="N21" s="43">
        <f t="shared" si="0"/>
        <v>1</v>
      </c>
      <c r="O21" s="63"/>
    </row>
    <row r="22" spans="1:15" ht="91.5" hidden="1" thickBot="1" x14ac:dyDescent="0.3">
      <c r="A22" s="61" t="s">
        <v>31</v>
      </c>
      <c r="B22" s="62" t="s">
        <v>30</v>
      </c>
      <c r="C22" s="18">
        <v>1</v>
      </c>
      <c r="D22" s="18">
        <v>1</v>
      </c>
      <c r="E22" s="18">
        <v>1</v>
      </c>
      <c r="F22" s="18">
        <v>1</v>
      </c>
      <c r="G22" s="18">
        <v>1</v>
      </c>
      <c r="H22" s="18"/>
      <c r="I22" s="18"/>
      <c r="J22" s="18">
        <v>1</v>
      </c>
      <c r="K22" s="18">
        <v>1</v>
      </c>
      <c r="L22" s="18">
        <v>1</v>
      </c>
      <c r="M22" s="43">
        <f>L22/C22</f>
        <v>1</v>
      </c>
      <c r="N22" s="43">
        <f t="shared" si="0"/>
        <v>1</v>
      </c>
      <c r="O22" s="63"/>
    </row>
    <row r="23" spans="1:15" ht="147.75" hidden="1" thickBot="1" x14ac:dyDescent="0.3">
      <c r="A23" s="64" t="s">
        <v>33</v>
      </c>
      <c r="B23" s="65" t="s">
        <v>32</v>
      </c>
      <c r="C23" s="19">
        <v>1</v>
      </c>
      <c r="D23" s="19">
        <v>1</v>
      </c>
      <c r="E23" s="19">
        <v>1</v>
      </c>
      <c r="F23" s="19">
        <v>1</v>
      </c>
      <c r="G23" s="19">
        <v>1</v>
      </c>
      <c r="H23" s="19"/>
      <c r="I23" s="19"/>
      <c r="J23" s="19">
        <v>1</v>
      </c>
      <c r="K23" s="19">
        <v>1</v>
      </c>
      <c r="L23" s="19">
        <v>1</v>
      </c>
      <c r="M23" s="47">
        <f>L23/C23</f>
        <v>1</v>
      </c>
      <c r="N23" s="43">
        <f t="shared" si="0"/>
        <v>1</v>
      </c>
      <c r="O23" s="48"/>
    </row>
    <row r="24" spans="1:15" ht="69" customHeight="1" thickBot="1" x14ac:dyDescent="0.3">
      <c r="A24" s="49" t="s">
        <v>35</v>
      </c>
      <c r="B24" s="50" t="s">
        <v>34</v>
      </c>
      <c r="C24" s="15">
        <f>C26+C29+C31+C25</f>
        <v>17020</v>
      </c>
      <c r="D24" s="15">
        <f t="shared" ref="D24:L24" si="5">D26+D29+D31+D25</f>
        <v>17020</v>
      </c>
      <c r="E24" s="15">
        <f t="shared" si="5"/>
        <v>17020</v>
      </c>
      <c r="F24" s="15">
        <f t="shared" si="5"/>
        <v>17020</v>
      </c>
      <c r="G24" s="15">
        <f t="shared" si="5"/>
        <v>17020</v>
      </c>
      <c r="H24" s="15">
        <f>H25+H26+H29+H31</f>
        <v>17020</v>
      </c>
      <c r="I24" s="15">
        <f>I25+I26+I29+I31</f>
        <v>17020</v>
      </c>
      <c r="J24" s="15">
        <f t="shared" si="5"/>
        <v>17020</v>
      </c>
      <c r="K24" s="15">
        <f t="shared" si="5"/>
        <v>9350</v>
      </c>
      <c r="L24" s="15">
        <f t="shared" si="5"/>
        <v>7422.8626299999996</v>
      </c>
      <c r="M24" s="51">
        <f>L24/C24</f>
        <v>0.43612588895417154</v>
      </c>
      <c r="N24" s="43">
        <f t="shared" si="0"/>
        <v>0.79388905133689835</v>
      </c>
      <c r="O24" s="52"/>
    </row>
    <row r="25" spans="1:15" ht="75" customHeight="1" x14ac:dyDescent="0.25">
      <c r="A25" s="61" t="s">
        <v>268</v>
      </c>
      <c r="B25" s="62" t="s">
        <v>269</v>
      </c>
      <c r="C25" s="18">
        <v>3200</v>
      </c>
      <c r="D25" s="18">
        <f t="shared" ref="D25:J25" si="6">C25</f>
        <v>3200</v>
      </c>
      <c r="E25" s="18">
        <f t="shared" si="6"/>
        <v>3200</v>
      </c>
      <c r="F25" s="18">
        <f t="shared" si="6"/>
        <v>3200</v>
      </c>
      <c r="G25" s="18">
        <f t="shared" si="6"/>
        <v>3200</v>
      </c>
      <c r="H25" s="18">
        <f t="shared" si="6"/>
        <v>3200</v>
      </c>
      <c r="I25" s="18">
        <f t="shared" si="6"/>
        <v>3200</v>
      </c>
      <c r="J25" s="18">
        <f t="shared" si="6"/>
        <v>3200</v>
      </c>
      <c r="K25" s="18">
        <f>J25+600</f>
        <v>3800</v>
      </c>
      <c r="L25" s="18">
        <v>4000.75209</v>
      </c>
      <c r="M25" s="51">
        <f>L25/C25</f>
        <v>1.2502350281250001</v>
      </c>
      <c r="N25" s="43">
        <f t="shared" si="0"/>
        <v>1.0528294973684211</v>
      </c>
      <c r="O25" s="63" t="s">
        <v>345</v>
      </c>
    </row>
    <row r="26" spans="1:15" ht="23.25" x14ac:dyDescent="0.25">
      <c r="A26" s="61" t="s">
        <v>37</v>
      </c>
      <c r="B26" s="62" t="s">
        <v>36</v>
      </c>
      <c r="C26" s="18">
        <v>0</v>
      </c>
      <c r="D26" s="18">
        <f t="shared" ref="D26:J31" si="7">C26</f>
        <v>0</v>
      </c>
      <c r="E26" s="18">
        <f t="shared" si="7"/>
        <v>0</v>
      </c>
      <c r="F26" s="18">
        <f t="shared" si="7"/>
        <v>0</v>
      </c>
      <c r="G26" s="18">
        <f t="shared" si="7"/>
        <v>0</v>
      </c>
      <c r="H26" s="18">
        <f t="shared" si="7"/>
        <v>0</v>
      </c>
      <c r="I26" s="18">
        <f t="shared" si="7"/>
        <v>0</v>
      </c>
      <c r="J26" s="18">
        <f t="shared" si="7"/>
        <v>0</v>
      </c>
      <c r="K26" s="18">
        <f>J26</f>
        <v>0</v>
      </c>
      <c r="L26" s="18">
        <v>-491.55698000000001</v>
      </c>
      <c r="M26" s="43" t="e">
        <f>L26/C26</f>
        <v>#DIV/0!</v>
      </c>
      <c r="N26" s="43" t="e">
        <f t="shared" si="0"/>
        <v>#DIV/0!</v>
      </c>
      <c r="O26" s="63"/>
    </row>
    <row r="27" spans="1:15" ht="23.25" hidden="1" x14ac:dyDescent="0.25">
      <c r="A27" s="61" t="s">
        <v>38</v>
      </c>
      <c r="B27" s="62" t="s">
        <v>36</v>
      </c>
      <c r="C27" s="18"/>
      <c r="D27" s="18">
        <f t="shared" si="7"/>
        <v>0</v>
      </c>
      <c r="E27" s="18">
        <f t="shared" si="7"/>
        <v>0</v>
      </c>
      <c r="F27" s="18">
        <f t="shared" si="7"/>
        <v>0</v>
      </c>
      <c r="G27" s="18">
        <f t="shared" si="7"/>
        <v>0</v>
      </c>
      <c r="H27" s="18">
        <f t="shared" si="7"/>
        <v>0</v>
      </c>
      <c r="I27" s="18">
        <f t="shared" si="7"/>
        <v>0</v>
      </c>
      <c r="J27" s="18">
        <f t="shared" si="7"/>
        <v>0</v>
      </c>
      <c r="K27" s="18"/>
      <c r="L27" s="18"/>
      <c r="M27" s="43" t="e">
        <f>L27/C27</f>
        <v>#DIV/0!</v>
      </c>
      <c r="N27" s="43" t="e">
        <f t="shared" si="0"/>
        <v>#DIV/0!</v>
      </c>
      <c r="O27" s="63"/>
    </row>
    <row r="28" spans="1:15" ht="45.75" hidden="1" x14ac:dyDescent="0.25">
      <c r="A28" s="61" t="s">
        <v>40</v>
      </c>
      <c r="B28" s="62" t="s">
        <v>39</v>
      </c>
      <c r="C28" s="18"/>
      <c r="D28" s="18">
        <f t="shared" si="7"/>
        <v>0</v>
      </c>
      <c r="E28" s="18">
        <f t="shared" si="7"/>
        <v>0</v>
      </c>
      <c r="F28" s="18">
        <f t="shared" si="7"/>
        <v>0</v>
      </c>
      <c r="G28" s="18">
        <f t="shared" si="7"/>
        <v>0</v>
      </c>
      <c r="H28" s="18">
        <f t="shared" si="7"/>
        <v>0</v>
      </c>
      <c r="I28" s="18">
        <f t="shared" si="7"/>
        <v>0</v>
      </c>
      <c r="J28" s="18">
        <f t="shared" si="7"/>
        <v>0</v>
      </c>
      <c r="K28" s="18"/>
      <c r="L28" s="18"/>
      <c r="M28" s="43" t="e">
        <f>L28/C28</f>
        <v>#DIV/0!</v>
      </c>
      <c r="N28" s="43" t="e">
        <f t="shared" si="0"/>
        <v>#DIV/0!</v>
      </c>
      <c r="O28" s="63"/>
    </row>
    <row r="29" spans="1:15" ht="65.25" customHeight="1" x14ac:dyDescent="0.25">
      <c r="A29" s="61" t="s">
        <v>42</v>
      </c>
      <c r="B29" s="62" t="s">
        <v>41</v>
      </c>
      <c r="C29" s="18">
        <v>320</v>
      </c>
      <c r="D29" s="18">
        <f t="shared" si="7"/>
        <v>320</v>
      </c>
      <c r="E29" s="18">
        <f t="shared" si="7"/>
        <v>320</v>
      </c>
      <c r="F29" s="18">
        <f t="shared" si="7"/>
        <v>320</v>
      </c>
      <c r="G29" s="18">
        <f t="shared" si="7"/>
        <v>320</v>
      </c>
      <c r="H29" s="18">
        <f t="shared" si="7"/>
        <v>320</v>
      </c>
      <c r="I29" s="18">
        <f t="shared" si="7"/>
        <v>320</v>
      </c>
      <c r="J29" s="18">
        <f t="shared" si="7"/>
        <v>320</v>
      </c>
      <c r="K29" s="18">
        <f>J29-270</f>
        <v>50</v>
      </c>
      <c r="L29" s="18">
        <v>59.816549999999999</v>
      </c>
      <c r="M29" s="43">
        <f>L29/C29</f>
        <v>0.18692671875</v>
      </c>
      <c r="N29" s="43">
        <f t="shared" si="0"/>
        <v>1.196331</v>
      </c>
      <c r="O29" s="63" t="s">
        <v>346</v>
      </c>
    </row>
    <row r="30" spans="1:15" ht="15.75" hidden="1" x14ac:dyDescent="0.25">
      <c r="A30" s="61" t="s">
        <v>43</v>
      </c>
      <c r="B30" s="62" t="s">
        <v>41</v>
      </c>
      <c r="C30" s="18"/>
      <c r="D30" s="18">
        <f t="shared" si="7"/>
        <v>0</v>
      </c>
      <c r="E30" s="18">
        <f t="shared" si="7"/>
        <v>0</v>
      </c>
      <c r="F30" s="18">
        <f t="shared" si="7"/>
        <v>0</v>
      </c>
      <c r="G30" s="18">
        <f t="shared" si="7"/>
        <v>0</v>
      </c>
      <c r="H30" s="18">
        <f t="shared" si="7"/>
        <v>0</v>
      </c>
      <c r="I30" s="18">
        <f t="shared" si="7"/>
        <v>0</v>
      </c>
      <c r="J30" s="18">
        <f t="shared" si="7"/>
        <v>0</v>
      </c>
      <c r="K30" s="18"/>
      <c r="L30" s="18"/>
      <c r="M30" s="43" t="e">
        <f>L30/C30</f>
        <v>#DIV/0!</v>
      </c>
      <c r="N30" s="43" t="e">
        <f t="shared" si="0"/>
        <v>#DIV/0!</v>
      </c>
      <c r="O30" s="63"/>
    </row>
    <row r="31" spans="1:15" ht="142.5" thickBot="1" x14ac:dyDescent="0.3">
      <c r="A31" s="53" t="s">
        <v>45</v>
      </c>
      <c r="B31" s="54" t="s">
        <v>44</v>
      </c>
      <c r="C31" s="16">
        <v>13500</v>
      </c>
      <c r="D31" s="18">
        <f t="shared" si="7"/>
        <v>13500</v>
      </c>
      <c r="E31" s="18">
        <f t="shared" si="7"/>
        <v>13500</v>
      </c>
      <c r="F31" s="18">
        <f t="shared" si="7"/>
        <v>13500</v>
      </c>
      <c r="G31" s="18">
        <f t="shared" si="7"/>
        <v>13500</v>
      </c>
      <c r="H31" s="18">
        <f t="shared" si="7"/>
        <v>13500</v>
      </c>
      <c r="I31" s="18">
        <f t="shared" si="7"/>
        <v>13500</v>
      </c>
      <c r="J31" s="18">
        <f t="shared" si="7"/>
        <v>13500</v>
      </c>
      <c r="K31" s="16">
        <f>J31-8000</f>
        <v>5500</v>
      </c>
      <c r="L31" s="16">
        <v>3853.85097</v>
      </c>
      <c r="M31" s="55">
        <f>L31/C31</f>
        <v>0.28547044222222223</v>
      </c>
      <c r="N31" s="43">
        <f t="shared" si="0"/>
        <v>0.70070017636363635</v>
      </c>
      <c r="O31" s="56" t="s">
        <v>347</v>
      </c>
    </row>
    <row r="32" spans="1:15" ht="46.5" hidden="1" thickBot="1" x14ac:dyDescent="0.3">
      <c r="A32" s="66" t="s">
        <v>47</v>
      </c>
      <c r="B32" s="67" t="s">
        <v>46</v>
      </c>
      <c r="C32" s="20">
        <v>900</v>
      </c>
      <c r="D32" s="20">
        <v>900</v>
      </c>
      <c r="E32" s="20">
        <v>900</v>
      </c>
      <c r="F32" s="20">
        <v>900</v>
      </c>
      <c r="G32" s="20">
        <v>900</v>
      </c>
      <c r="H32" s="20"/>
      <c r="I32" s="20"/>
      <c r="J32" s="20">
        <v>900</v>
      </c>
      <c r="K32" s="20">
        <v>900</v>
      </c>
      <c r="L32" s="20">
        <v>900</v>
      </c>
      <c r="M32" s="68">
        <f>L32/C32</f>
        <v>1</v>
      </c>
      <c r="N32" s="43">
        <f t="shared" si="0"/>
        <v>1</v>
      </c>
      <c r="O32" s="69"/>
    </row>
    <row r="33" spans="1:16" ht="15.75" x14ac:dyDescent="0.25">
      <c r="A33" s="49" t="s">
        <v>49</v>
      </c>
      <c r="B33" s="50" t="s">
        <v>48</v>
      </c>
      <c r="C33" s="15">
        <f t="shared" ref="C33:L33" si="8">C34+C36</f>
        <v>57000</v>
      </c>
      <c r="D33" s="15">
        <f t="shared" si="8"/>
        <v>57000</v>
      </c>
      <c r="E33" s="15">
        <f t="shared" si="8"/>
        <v>57000</v>
      </c>
      <c r="F33" s="15">
        <f t="shared" si="8"/>
        <v>57000</v>
      </c>
      <c r="G33" s="15">
        <f t="shared" si="8"/>
        <v>57000</v>
      </c>
      <c r="H33" s="15">
        <f>H34+H36</f>
        <v>57000</v>
      </c>
      <c r="I33" s="15">
        <f>H33</f>
        <v>57000</v>
      </c>
      <c r="J33" s="15">
        <f t="shared" si="8"/>
        <v>57000</v>
      </c>
      <c r="K33" s="15">
        <f t="shared" si="8"/>
        <v>61800</v>
      </c>
      <c r="L33" s="15">
        <f t="shared" si="8"/>
        <v>75667.697740000003</v>
      </c>
      <c r="M33" s="51">
        <f>L33/C33</f>
        <v>1.3275034691228071</v>
      </c>
      <c r="N33" s="43">
        <f t="shared" si="0"/>
        <v>1.2243964035598707</v>
      </c>
      <c r="O33" s="52"/>
    </row>
    <row r="34" spans="1:16" ht="154.5" customHeight="1" x14ac:dyDescent="0.25">
      <c r="A34" s="61" t="s">
        <v>51</v>
      </c>
      <c r="B34" s="62" t="s">
        <v>50</v>
      </c>
      <c r="C34" s="18">
        <v>35000</v>
      </c>
      <c r="D34" s="18">
        <f>C34</f>
        <v>35000</v>
      </c>
      <c r="E34" s="18">
        <f>D34</f>
        <v>35000</v>
      </c>
      <c r="F34" s="18">
        <f>E34</f>
        <v>35000</v>
      </c>
      <c r="G34" s="18">
        <f>F34</f>
        <v>35000</v>
      </c>
      <c r="H34" s="18">
        <f>G34</f>
        <v>35000</v>
      </c>
      <c r="I34" s="18">
        <f>H34</f>
        <v>35000</v>
      </c>
      <c r="J34" s="18">
        <f>I34</f>
        <v>35000</v>
      </c>
      <c r="K34" s="18">
        <f>J34+2500</f>
        <v>37500</v>
      </c>
      <c r="L34" s="18">
        <v>46242.582490000001</v>
      </c>
      <c r="M34" s="43">
        <f>L34/C34</f>
        <v>1.3212166425714287</v>
      </c>
      <c r="N34" s="43">
        <f t="shared" si="0"/>
        <v>1.2331355330666667</v>
      </c>
      <c r="O34" s="63" t="s">
        <v>348</v>
      </c>
    </row>
    <row r="35" spans="1:16" ht="57" hidden="1" x14ac:dyDescent="0.25">
      <c r="A35" s="61" t="s">
        <v>53</v>
      </c>
      <c r="B35" s="62" t="s">
        <v>52</v>
      </c>
      <c r="C35" s="18">
        <v>15000</v>
      </c>
      <c r="D35" s="18">
        <v>15000</v>
      </c>
      <c r="E35" s="18">
        <v>15000</v>
      </c>
      <c r="F35" s="18">
        <v>15000</v>
      </c>
      <c r="G35" s="18">
        <v>15000</v>
      </c>
      <c r="H35" s="18"/>
      <c r="I35" s="18"/>
      <c r="J35" s="18">
        <v>15000</v>
      </c>
      <c r="K35" s="18">
        <v>15000</v>
      </c>
      <c r="L35" s="18">
        <v>15000</v>
      </c>
      <c r="M35" s="43">
        <f>L35/C35</f>
        <v>1</v>
      </c>
      <c r="N35" s="43">
        <f t="shared" si="0"/>
        <v>1</v>
      </c>
      <c r="O35" s="70"/>
    </row>
    <row r="36" spans="1:16" ht="32.25" thickBot="1" x14ac:dyDescent="0.3">
      <c r="A36" s="61" t="s">
        <v>55</v>
      </c>
      <c r="B36" s="62" t="s">
        <v>54</v>
      </c>
      <c r="C36" s="18">
        <v>22000</v>
      </c>
      <c r="D36" s="18">
        <v>22000</v>
      </c>
      <c r="E36" s="18">
        <v>22000</v>
      </c>
      <c r="F36" s="18">
        <v>22000</v>
      </c>
      <c r="G36" s="18">
        <v>22000</v>
      </c>
      <c r="H36" s="18">
        <v>22000</v>
      </c>
      <c r="I36" s="18">
        <v>22000</v>
      </c>
      <c r="J36" s="18">
        <v>22000</v>
      </c>
      <c r="K36" s="18">
        <f>J36+2300</f>
        <v>24300</v>
      </c>
      <c r="L36" s="18">
        <v>29425.115249999999</v>
      </c>
      <c r="M36" s="43">
        <f>L36/C36</f>
        <v>1.3375052386363635</v>
      </c>
      <c r="N36" s="43">
        <f t="shared" si="0"/>
        <v>1.2109100925925926</v>
      </c>
      <c r="O36" s="63" t="s">
        <v>349</v>
      </c>
    </row>
    <row r="37" spans="1:16" ht="16.5" hidden="1" thickBot="1" x14ac:dyDescent="0.3">
      <c r="A37" s="61" t="s">
        <v>57</v>
      </c>
      <c r="B37" s="62" t="s">
        <v>56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43" t="e">
        <f>L37/C37</f>
        <v>#DIV/0!</v>
      </c>
      <c r="N37" s="43" t="e">
        <f t="shared" si="0"/>
        <v>#DIV/0!</v>
      </c>
      <c r="O37" s="63"/>
    </row>
    <row r="38" spans="1:16" ht="46.5" hidden="1" thickBot="1" x14ac:dyDescent="0.3">
      <c r="A38" s="61" t="s">
        <v>59</v>
      </c>
      <c r="B38" s="62" t="s">
        <v>58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43" t="e">
        <f>L38/C38</f>
        <v>#DIV/0!</v>
      </c>
      <c r="N38" s="43" t="e">
        <f t="shared" si="0"/>
        <v>#DIV/0!</v>
      </c>
      <c r="O38" s="63"/>
    </row>
    <row r="39" spans="1:16" ht="16.5" hidden="1" thickBot="1" x14ac:dyDescent="0.3">
      <c r="A39" s="53" t="s">
        <v>61</v>
      </c>
      <c r="B39" s="54" t="s">
        <v>60</v>
      </c>
      <c r="C39" s="16"/>
      <c r="D39" s="18"/>
      <c r="E39" s="16"/>
      <c r="F39" s="16"/>
      <c r="G39" s="16"/>
      <c r="H39" s="16"/>
      <c r="I39" s="16"/>
      <c r="J39" s="16"/>
      <c r="K39" s="16"/>
      <c r="L39" s="16"/>
      <c r="M39" s="55" t="e">
        <f>L39/C39</f>
        <v>#DIV/0!</v>
      </c>
      <c r="N39" s="43" t="e">
        <f t="shared" si="0"/>
        <v>#DIV/0!</v>
      </c>
      <c r="O39" s="56"/>
    </row>
    <row r="40" spans="1:16" ht="46.5" hidden="1" thickBot="1" x14ac:dyDescent="0.3">
      <c r="A40" s="66" t="s">
        <v>63</v>
      </c>
      <c r="B40" s="67" t="s">
        <v>62</v>
      </c>
      <c r="C40" s="20">
        <v>13100</v>
      </c>
      <c r="D40" s="20">
        <v>13100</v>
      </c>
      <c r="E40" s="20">
        <v>13100</v>
      </c>
      <c r="F40" s="20">
        <v>13100</v>
      </c>
      <c r="G40" s="20">
        <v>13100</v>
      </c>
      <c r="H40" s="20"/>
      <c r="I40" s="20"/>
      <c r="J40" s="20">
        <v>13100</v>
      </c>
      <c r="K40" s="20">
        <v>13100</v>
      </c>
      <c r="L40" s="20">
        <v>13100</v>
      </c>
      <c r="M40" s="68">
        <f>L40/C40</f>
        <v>1</v>
      </c>
      <c r="N40" s="43">
        <f t="shared" si="0"/>
        <v>1</v>
      </c>
      <c r="O40" s="69"/>
    </row>
    <row r="41" spans="1:16" ht="32.25" customHeight="1" x14ac:dyDescent="0.25">
      <c r="A41" s="49" t="s">
        <v>65</v>
      </c>
      <c r="B41" s="50" t="s">
        <v>64</v>
      </c>
      <c r="C41" s="15">
        <f t="shared" ref="C41:L41" si="9">C42+C44</f>
        <v>7000</v>
      </c>
      <c r="D41" s="15">
        <f t="shared" si="9"/>
        <v>7000</v>
      </c>
      <c r="E41" s="15">
        <f t="shared" si="9"/>
        <v>7000</v>
      </c>
      <c r="F41" s="15">
        <f t="shared" si="9"/>
        <v>7000</v>
      </c>
      <c r="G41" s="15">
        <f t="shared" si="9"/>
        <v>7000</v>
      </c>
      <c r="H41" s="15">
        <f>H42+H44</f>
        <v>7000</v>
      </c>
      <c r="I41" s="15">
        <f>I42+I44</f>
        <v>7000</v>
      </c>
      <c r="J41" s="15">
        <f t="shared" si="9"/>
        <v>7000</v>
      </c>
      <c r="K41" s="15">
        <f t="shared" si="9"/>
        <v>7500</v>
      </c>
      <c r="L41" s="15">
        <f t="shared" si="9"/>
        <v>8075.1665499999999</v>
      </c>
      <c r="M41" s="51">
        <f>L41/C41</f>
        <v>1.1535952214285714</v>
      </c>
      <c r="N41" s="43">
        <f t="shared" si="0"/>
        <v>1.0766888733333333</v>
      </c>
      <c r="O41" s="97" t="s">
        <v>362</v>
      </c>
      <c r="P41" s="5"/>
    </row>
    <row r="42" spans="1:16" ht="34.5" x14ac:dyDescent="0.25">
      <c r="A42" s="61" t="s">
        <v>67</v>
      </c>
      <c r="B42" s="62" t="s">
        <v>66</v>
      </c>
      <c r="C42" s="18">
        <v>6900</v>
      </c>
      <c r="D42" s="18">
        <f t="shared" ref="D42:J42" si="10">C42</f>
        <v>6900</v>
      </c>
      <c r="E42" s="18">
        <f t="shared" si="10"/>
        <v>6900</v>
      </c>
      <c r="F42" s="18">
        <f t="shared" si="10"/>
        <v>6900</v>
      </c>
      <c r="G42" s="18">
        <f t="shared" si="10"/>
        <v>6900</v>
      </c>
      <c r="H42" s="18">
        <f t="shared" si="10"/>
        <v>6900</v>
      </c>
      <c r="I42" s="18">
        <f t="shared" si="10"/>
        <v>6900</v>
      </c>
      <c r="J42" s="18">
        <f t="shared" si="10"/>
        <v>6900</v>
      </c>
      <c r="K42" s="18">
        <f>J42+565</f>
        <v>7465</v>
      </c>
      <c r="L42" s="18">
        <v>8040.1665499999999</v>
      </c>
      <c r="M42" s="43">
        <f>L42/C42</f>
        <v>1.1652415289855071</v>
      </c>
      <c r="N42" s="43">
        <f t="shared" si="0"/>
        <v>1.0770484326858674</v>
      </c>
      <c r="O42" s="97"/>
    </row>
    <row r="43" spans="1:16" ht="57" hidden="1" customHeight="1" x14ac:dyDescent="0.25">
      <c r="A43" s="61" t="s">
        <v>69</v>
      </c>
      <c r="B43" s="62" t="s">
        <v>68</v>
      </c>
      <c r="C43" s="18"/>
      <c r="D43" s="18">
        <f t="shared" ref="D43:D44" si="11">C43</f>
        <v>0</v>
      </c>
      <c r="E43" s="18"/>
      <c r="F43" s="18"/>
      <c r="G43" s="18"/>
      <c r="H43" s="18"/>
      <c r="I43" s="18"/>
      <c r="J43" s="18"/>
      <c r="K43" s="18"/>
      <c r="L43" s="18"/>
      <c r="M43" s="43" t="e">
        <f>L43/C43</f>
        <v>#DIV/0!</v>
      </c>
      <c r="N43" s="43" t="e">
        <f t="shared" si="0"/>
        <v>#DIV/0!</v>
      </c>
      <c r="O43" s="97"/>
    </row>
    <row r="44" spans="1:16" ht="46.5" thickBot="1" x14ac:dyDescent="0.3">
      <c r="A44" s="53" t="s">
        <v>71</v>
      </c>
      <c r="B44" s="54" t="s">
        <v>70</v>
      </c>
      <c r="C44" s="16">
        <v>100</v>
      </c>
      <c r="D44" s="18">
        <f t="shared" si="11"/>
        <v>100</v>
      </c>
      <c r="E44" s="16">
        <f t="shared" ref="E44:J44" si="12">D44</f>
        <v>100</v>
      </c>
      <c r="F44" s="16">
        <f t="shared" si="12"/>
        <v>100</v>
      </c>
      <c r="G44" s="16">
        <f t="shared" si="12"/>
        <v>100</v>
      </c>
      <c r="H44" s="16">
        <f t="shared" si="12"/>
        <v>100</v>
      </c>
      <c r="I44" s="16">
        <f t="shared" si="12"/>
        <v>100</v>
      </c>
      <c r="J44" s="16">
        <f t="shared" si="12"/>
        <v>100</v>
      </c>
      <c r="K44" s="16">
        <f>J44-65</f>
        <v>35</v>
      </c>
      <c r="L44" s="16">
        <v>35</v>
      </c>
      <c r="M44" s="55">
        <f>L44/C44</f>
        <v>0.35</v>
      </c>
      <c r="N44" s="43">
        <f t="shared" si="0"/>
        <v>1</v>
      </c>
      <c r="O44" s="97"/>
    </row>
    <row r="45" spans="1:16" ht="35.25" hidden="1" thickBot="1" x14ac:dyDescent="0.3">
      <c r="A45" s="57" t="s">
        <v>73</v>
      </c>
      <c r="B45" s="58" t="s">
        <v>72</v>
      </c>
      <c r="C45" s="17">
        <v>160</v>
      </c>
      <c r="D45" s="17">
        <v>160</v>
      </c>
      <c r="E45" s="17">
        <v>160</v>
      </c>
      <c r="F45" s="17">
        <v>160</v>
      </c>
      <c r="G45" s="17">
        <v>160</v>
      </c>
      <c r="H45" s="17"/>
      <c r="I45" s="17"/>
      <c r="J45" s="17">
        <v>160</v>
      </c>
      <c r="K45" s="17">
        <v>160</v>
      </c>
      <c r="L45" s="17">
        <v>160</v>
      </c>
      <c r="M45" s="59">
        <f>L45/C45</f>
        <v>1</v>
      </c>
      <c r="N45" s="43">
        <f t="shared" si="0"/>
        <v>1</v>
      </c>
      <c r="O45" s="60"/>
    </row>
    <row r="46" spans="1:16" ht="80.25" hidden="1" thickBot="1" x14ac:dyDescent="0.3">
      <c r="A46" s="61" t="s">
        <v>75</v>
      </c>
      <c r="B46" s="62" t="s">
        <v>74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/>
      <c r="I46" s="21"/>
      <c r="J46" s="21">
        <v>0</v>
      </c>
      <c r="K46" s="21">
        <v>0</v>
      </c>
      <c r="L46" s="21">
        <v>0</v>
      </c>
      <c r="M46" s="43" t="e">
        <f>L46/C46</f>
        <v>#DIV/0!</v>
      </c>
      <c r="N46" s="43" t="e">
        <f t="shared" si="0"/>
        <v>#DIV/0!</v>
      </c>
      <c r="O46" s="63"/>
    </row>
    <row r="47" spans="1:16" ht="125.25" hidden="1" thickBot="1" x14ac:dyDescent="0.3">
      <c r="A47" s="64" t="s">
        <v>77</v>
      </c>
      <c r="B47" s="65" t="s">
        <v>76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/>
      <c r="I47" s="22"/>
      <c r="J47" s="22">
        <v>0</v>
      </c>
      <c r="K47" s="22">
        <v>0</v>
      </c>
      <c r="L47" s="22">
        <v>0</v>
      </c>
      <c r="M47" s="47" t="e">
        <f>L47/C47</f>
        <v>#DIV/0!</v>
      </c>
      <c r="N47" s="43" t="e">
        <f t="shared" si="0"/>
        <v>#DIV/0!</v>
      </c>
      <c r="O47" s="48"/>
    </row>
    <row r="48" spans="1:16" ht="34.5" hidden="1" x14ac:dyDescent="0.25">
      <c r="A48" s="49" t="s">
        <v>79</v>
      </c>
      <c r="B48" s="50" t="s">
        <v>78</v>
      </c>
      <c r="C48" s="23">
        <v>0</v>
      </c>
      <c r="D48" s="23">
        <v>0</v>
      </c>
      <c r="E48" s="23">
        <v>0</v>
      </c>
      <c r="F48" s="23">
        <v>0</v>
      </c>
      <c r="G48" s="23">
        <f>G49</f>
        <v>0</v>
      </c>
      <c r="H48" s="23">
        <f>H49</f>
        <v>0</v>
      </c>
      <c r="I48" s="23">
        <f>I49</f>
        <v>0</v>
      </c>
      <c r="J48" s="23">
        <f t="shared" ref="J48:L48" si="13">J49</f>
        <v>0</v>
      </c>
      <c r="K48" s="23">
        <f t="shared" si="13"/>
        <v>0</v>
      </c>
      <c r="L48" s="23">
        <f t="shared" si="13"/>
        <v>0</v>
      </c>
      <c r="M48" s="51" t="e">
        <f>L48/C48</f>
        <v>#DIV/0!</v>
      </c>
      <c r="N48" s="43" t="e">
        <f t="shared" si="0"/>
        <v>#DIV/0!</v>
      </c>
      <c r="O48" s="52"/>
    </row>
    <row r="49" spans="1:17" ht="15.75" hidden="1" x14ac:dyDescent="0.25">
      <c r="A49" s="61" t="s">
        <v>81</v>
      </c>
      <c r="B49" s="62" t="s">
        <v>80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f>H49</f>
        <v>0</v>
      </c>
      <c r="J49" s="21">
        <f>I49</f>
        <v>0</v>
      </c>
      <c r="K49" s="21">
        <f>J49</f>
        <v>0</v>
      </c>
      <c r="L49" s="21">
        <v>0</v>
      </c>
      <c r="M49" s="43" t="e">
        <f>L49/C49</f>
        <v>#DIV/0!</v>
      </c>
      <c r="N49" s="43" t="e">
        <f t="shared" si="0"/>
        <v>#DIV/0!</v>
      </c>
      <c r="O49" s="63"/>
    </row>
    <row r="50" spans="1:17" ht="34.5" hidden="1" x14ac:dyDescent="0.25">
      <c r="A50" s="61" t="s">
        <v>83</v>
      </c>
      <c r="B50" s="62" t="s">
        <v>82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/>
      <c r="I50" s="21"/>
      <c r="J50" s="21">
        <v>0</v>
      </c>
      <c r="K50" s="21">
        <v>0</v>
      </c>
      <c r="L50" s="21">
        <v>0</v>
      </c>
      <c r="M50" s="43" t="e">
        <f>L50/C50</f>
        <v>#DIV/0!</v>
      </c>
      <c r="N50" s="43" t="e">
        <f t="shared" si="0"/>
        <v>#DIV/0!</v>
      </c>
      <c r="O50" s="63"/>
    </row>
    <row r="51" spans="1:17" ht="45.75" hidden="1" x14ac:dyDescent="0.25">
      <c r="A51" s="61" t="s">
        <v>85</v>
      </c>
      <c r="B51" s="62" t="s">
        <v>84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/>
      <c r="I51" s="21"/>
      <c r="J51" s="21">
        <v>0</v>
      </c>
      <c r="K51" s="21">
        <v>0</v>
      </c>
      <c r="L51" s="21">
        <v>0</v>
      </c>
      <c r="M51" s="43" t="e">
        <f>L51/C51</f>
        <v>#DIV/0!</v>
      </c>
      <c r="N51" s="43" t="e">
        <f t="shared" si="0"/>
        <v>#DIV/0!</v>
      </c>
      <c r="O51" s="63"/>
    </row>
    <row r="52" spans="1:17" ht="35.25" hidden="1" thickBot="1" x14ac:dyDescent="0.3">
      <c r="A52" s="53" t="s">
        <v>87</v>
      </c>
      <c r="B52" s="54" t="s">
        <v>86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f>H52</f>
        <v>0</v>
      </c>
      <c r="J52" s="24">
        <v>0</v>
      </c>
      <c r="K52" s="24">
        <v>0</v>
      </c>
      <c r="L52" s="24">
        <v>0</v>
      </c>
      <c r="M52" s="55" t="e">
        <f>L52/C52</f>
        <v>#DIV/0!</v>
      </c>
      <c r="N52" s="43" t="e">
        <f t="shared" si="0"/>
        <v>#DIV/0!</v>
      </c>
      <c r="O52" s="56"/>
    </row>
    <row r="53" spans="1:17" ht="57.75" hidden="1" thickBot="1" x14ac:dyDescent="0.3">
      <c r="A53" s="57" t="s">
        <v>89</v>
      </c>
      <c r="B53" s="58" t="s">
        <v>88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/>
      <c r="I53" s="25"/>
      <c r="J53" s="25">
        <v>0</v>
      </c>
      <c r="K53" s="25">
        <v>0</v>
      </c>
      <c r="L53" s="25">
        <v>0</v>
      </c>
      <c r="M53" s="59" t="e">
        <f>L53/C53</f>
        <v>#DIV/0!</v>
      </c>
      <c r="N53" s="43" t="e">
        <f t="shared" si="0"/>
        <v>#DIV/0!</v>
      </c>
      <c r="O53" s="60"/>
    </row>
    <row r="54" spans="1:17" ht="80.25" hidden="1" thickBot="1" x14ac:dyDescent="0.3">
      <c r="A54" s="64" t="s">
        <v>91</v>
      </c>
      <c r="B54" s="65" t="s">
        <v>90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/>
      <c r="I54" s="22"/>
      <c r="J54" s="22">
        <v>0</v>
      </c>
      <c r="K54" s="22">
        <v>0</v>
      </c>
      <c r="L54" s="22">
        <v>0</v>
      </c>
      <c r="M54" s="47" t="e">
        <f>L54/C54</f>
        <v>#DIV/0!</v>
      </c>
      <c r="N54" s="43" t="e">
        <f t="shared" si="0"/>
        <v>#DIV/0!</v>
      </c>
      <c r="O54" s="48"/>
    </row>
    <row r="55" spans="1:17" ht="49.5" customHeight="1" thickBot="1" x14ac:dyDescent="0.3">
      <c r="A55" s="49" t="s">
        <v>93</v>
      </c>
      <c r="B55" s="50" t="s">
        <v>92</v>
      </c>
      <c r="C55" s="15">
        <f t="shared" ref="C55:L55" si="14">C56</f>
        <v>36500</v>
      </c>
      <c r="D55" s="15">
        <f t="shared" si="14"/>
        <v>36500</v>
      </c>
      <c r="E55" s="15">
        <f t="shared" si="14"/>
        <v>36500</v>
      </c>
      <c r="F55" s="15">
        <f t="shared" si="14"/>
        <v>36500</v>
      </c>
      <c r="G55" s="15">
        <f t="shared" si="14"/>
        <v>36500</v>
      </c>
      <c r="H55" s="15">
        <f t="shared" si="14"/>
        <v>36500</v>
      </c>
      <c r="I55" s="15">
        <f t="shared" si="14"/>
        <v>36500</v>
      </c>
      <c r="J55" s="15">
        <f t="shared" si="14"/>
        <v>36500</v>
      </c>
      <c r="K55" s="15">
        <f t="shared" si="14"/>
        <v>33600</v>
      </c>
      <c r="L55" s="15">
        <f t="shared" si="14"/>
        <v>37863.400200000004</v>
      </c>
      <c r="M55" s="51">
        <f>L55/C55</f>
        <v>1.0373534301369864</v>
      </c>
      <c r="N55" s="43">
        <f t="shared" si="0"/>
        <v>1.1268869107142858</v>
      </c>
      <c r="O55" s="52" t="s">
        <v>358</v>
      </c>
      <c r="Q55" s="5"/>
    </row>
    <row r="56" spans="1:17" ht="126" customHeight="1" x14ac:dyDescent="0.25">
      <c r="A56" s="61" t="s">
        <v>95</v>
      </c>
      <c r="B56" s="62" t="s">
        <v>94</v>
      </c>
      <c r="C56" s="18">
        <f>C58+C62+C68+C70</f>
        <v>36500</v>
      </c>
      <c r="D56" s="18">
        <f>D58+D62+D68+D69</f>
        <v>36500</v>
      </c>
      <c r="E56" s="18">
        <f t="shared" ref="E56:J56" si="15">E58+E62+E68+E69</f>
        <v>36500</v>
      </c>
      <c r="F56" s="18">
        <f t="shared" si="15"/>
        <v>36500</v>
      </c>
      <c r="G56" s="18">
        <f t="shared" si="15"/>
        <v>36500</v>
      </c>
      <c r="H56" s="18">
        <f t="shared" si="15"/>
        <v>36500</v>
      </c>
      <c r="I56" s="18">
        <f t="shared" si="15"/>
        <v>36500</v>
      </c>
      <c r="J56" s="18">
        <f t="shared" si="15"/>
        <v>36500</v>
      </c>
      <c r="K56" s="18">
        <f>K58+K62+K68+K69+K60</f>
        <v>33600</v>
      </c>
      <c r="L56" s="18">
        <f>L58+L62+L68+L69+L63+L59</f>
        <v>37863.400200000004</v>
      </c>
      <c r="M56" s="43">
        <f>L56/C56</f>
        <v>1.0373534301369864</v>
      </c>
      <c r="N56" s="43">
        <f t="shared" si="0"/>
        <v>1.1268869107142858</v>
      </c>
      <c r="O56" s="98" t="s">
        <v>361</v>
      </c>
    </row>
    <row r="57" spans="1:17" ht="61.5" customHeight="1" x14ac:dyDescent="0.25">
      <c r="A57" s="61" t="s">
        <v>97</v>
      </c>
      <c r="B57" s="62" t="s">
        <v>96</v>
      </c>
      <c r="C57" s="18">
        <f t="shared" ref="C57:L57" si="16">C58</f>
        <v>13500</v>
      </c>
      <c r="D57" s="18">
        <f t="shared" si="16"/>
        <v>13500</v>
      </c>
      <c r="E57" s="18">
        <f t="shared" si="16"/>
        <v>13500</v>
      </c>
      <c r="F57" s="18">
        <f t="shared" si="16"/>
        <v>13500</v>
      </c>
      <c r="G57" s="18">
        <f t="shared" si="16"/>
        <v>13500</v>
      </c>
      <c r="H57" s="18">
        <f>H58</f>
        <v>13500</v>
      </c>
      <c r="I57" s="18">
        <f>I58</f>
        <v>13500</v>
      </c>
      <c r="J57" s="18">
        <f t="shared" si="16"/>
        <v>13500</v>
      </c>
      <c r="K57" s="18">
        <f t="shared" si="16"/>
        <v>13100</v>
      </c>
      <c r="L57" s="18">
        <f t="shared" si="16"/>
        <v>13802.00412</v>
      </c>
      <c r="M57" s="43">
        <f>L57/C57</f>
        <v>1.0223706755555555</v>
      </c>
      <c r="N57" s="43">
        <f t="shared" si="0"/>
        <v>1.0535881007633587</v>
      </c>
      <c r="O57" s="97" t="s">
        <v>354</v>
      </c>
    </row>
    <row r="58" spans="1:17" ht="57" customHeight="1" x14ac:dyDescent="0.25">
      <c r="A58" s="61" t="s">
        <v>99</v>
      </c>
      <c r="B58" s="62" t="s">
        <v>98</v>
      </c>
      <c r="C58" s="18">
        <v>13500</v>
      </c>
      <c r="D58" s="18">
        <f t="shared" ref="D58:J58" si="17">C58</f>
        <v>13500</v>
      </c>
      <c r="E58" s="18">
        <f t="shared" si="17"/>
        <v>13500</v>
      </c>
      <c r="F58" s="18">
        <f t="shared" si="17"/>
        <v>13500</v>
      </c>
      <c r="G58" s="18">
        <f t="shared" si="17"/>
        <v>13500</v>
      </c>
      <c r="H58" s="18">
        <f t="shared" si="17"/>
        <v>13500</v>
      </c>
      <c r="I58" s="18">
        <f t="shared" si="17"/>
        <v>13500</v>
      </c>
      <c r="J58" s="18">
        <f t="shared" si="17"/>
        <v>13500</v>
      </c>
      <c r="K58" s="18">
        <f>J58-400</f>
        <v>13100</v>
      </c>
      <c r="L58" s="18">
        <v>13802.00412</v>
      </c>
      <c r="M58" s="43">
        <f>L58/C58</f>
        <v>1.0223706755555555</v>
      </c>
      <c r="N58" s="43">
        <f t="shared" si="0"/>
        <v>1.0535881007633587</v>
      </c>
      <c r="O58" s="97"/>
    </row>
    <row r="59" spans="1:17" ht="138.75" customHeight="1" x14ac:dyDescent="0.25">
      <c r="A59" s="61" t="s">
        <v>293</v>
      </c>
      <c r="B59" s="62" t="s">
        <v>295</v>
      </c>
      <c r="C59" s="18"/>
      <c r="D59" s="18"/>
      <c r="E59" s="18"/>
      <c r="F59" s="18"/>
      <c r="G59" s="18"/>
      <c r="H59" s="18"/>
      <c r="I59" s="18"/>
      <c r="J59" s="18"/>
      <c r="K59" s="18">
        <f>K60</f>
        <v>400</v>
      </c>
      <c r="L59" s="18">
        <f>L60</f>
        <v>521.56375000000003</v>
      </c>
      <c r="M59" s="43" t="e">
        <f>L59/C59</f>
        <v>#DIV/0!</v>
      </c>
      <c r="N59" s="43">
        <f t="shared" si="0"/>
        <v>1.3039093750000001</v>
      </c>
      <c r="O59" s="97" t="s">
        <v>355</v>
      </c>
    </row>
    <row r="60" spans="1:17" ht="57" customHeight="1" x14ac:dyDescent="0.25">
      <c r="A60" s="61" t="s">
        <v>294</v>
      </c>
      <c r="B60" s="62" t="s">
        <v>296</v>
      </c>
      <c r="C60" s="18"/>
      <c r="D60" s="18"/>
      <c r="E60" s="18"/>
      <c r="F60" s="18"/>
      <c r="G60" s="18"/>
      <c r="H60" s="18"/>
      <c r="I60" s="18"/>
      <c r="J60" s="18"/>
      <c r="K60" s="18">
        <v>400</v>
      </c>
      <c r="L60" s="18">
        <v>521.56375000000003</v>
      </c>
      <c r="M60" s="43" t="e">
        <f>L60/C60</f>
        <v>#DIV/0!</v>
      </c>
      <c r="N60" s="43">
        <f t="shared" si="0"/>
        <v>1.3039093750000001</v>
      </c>
      <c r="O60" s="97"/>
    </row>
    <row r="61" spans="1:17" ht="80.25" customHeight="1" x14ac:dyDescent="0.25">
      <c r="A61" s="61" t="s">
        <v>101</v>
      </c>
      <c r="B61" s="62" t="s">
        <v>100</v>
      </c>
      <c r="C61" s="18">
        <f t="shared" ref="C61:L61" si="18">C62</f>
        <v>15000</v>
      </c>
      <c r="D61" s="18">
        <f t="shared" si="18"/>
        <v>15000</v>
      </c>
      <c r="E61" s="18">
        <f t="shared" si="18"/>
        <v>15000</v>
      </c>
      <c r="F61" s="18">
        <f t="shared" si="18"/>
        <v>15000</v>
      </c>
      <c r="G61" s="18">
        <f t="shared" si="18"/>
        <v>15000</v>
      </c>
      <c r="H61" s="18">
        <f>H62</f>
        <v>15000</v>
      </c>
      <c r="I61" s="18">
        <f>I62</f>
        <v>15000</v>
      </c>
      <c r="J61" s="18">
        <f t="shared" si="18"/>
        <v>15000</v>
      </c>
      <c r="K61" s="18">
        <f t="shared" si="18"/>
        <v>12100</v>
      </c>
      <c r="L61" s="18">
        <f t="shared" si="18"/>
        <v>14276.78119</v>
      </c>
      <c r="M61" s="43">
        <f>L61/C61</f>
        <v>0.95178541266666661</v>
      </c>
      <c r="N61" s="43">
        <f t="shared" si="0"/>
        <v>1.1798992719008263</v>
      </c>
      <c r="O61" s="96" t="s">
        <v>356</v>
      </c>
    </row>
    <row r="62" spans="1:17" ht="63" customHeight="1" x14ac:dyDescent="0.25">
      <c r="A62" s="61" t="s">
        <v>103</v>
      </c>
      <c r="B62" s="62" t="s">
        <v>102</v>
      </c>
      <c r="C62" s="18">
        <v>15000</v>
      </c>
      <c r="D62" s="18">
        <f t="shared" ref="D62:J62" si="19">C62</f>
        <v>15000</v>
      </c>
      <c r="E62" s="18">
        <f t="shared" si="19"/>
        <v>15000</v>
      </c>
      <c r="F62" s="18">
        <f t="shared" si="19"/>
        <v>15000</v>
      </c>
      <c r="G62" s="18">
        <f t="shared" si="19"/>
        <v>15000</v>
      </c>
      <c r="H62" s="18">
        <f t="shared" si="19"/>
        <v>15000</v>
      </c>
      <c r="I62" s="18">
        <f t="shared" si="19"/>
        <v>15000</v>
      </c>
      <c r="J62" s="18">
        <f t="shared" si="19"/>
        <v>15000</v>
      </c>
      <c r="K62" s="18">
        <f>J62-2900</f>
        <v>12100</v>
      </c>
      <c r="L62" s="18">
        <v>14276.78119</v>
      </c>
      <c r="M62" s="43">
        <f>L62/C62</f>
        <v>0.95178541266666661</v>
      </c>
      <c r="N62" s="43">
        <f t="shared" si="0"/>
        <v>1.1798992719008263</v>
      </c>
      <c r="O62" s="92"/>
    </row>
    <row r="63" spans="1:17" ht="63" customHeight="1" x14ac:dyDescent="0.25">
      <c r="A63" s="61" t="s">
        <v>328</v>
      </c>
      <c r="B63" s="62" t="s">
        <v>333</v>
      </c>
      <c r="C63" s="18"/>
      <c r="D63" s="18"/>
      <c r="E63" s="18"/>
      <c r="F63" s="18"/>
      <c r="G63" s="18"/>
      <c r="H63" s="18"/>
      <c r="I63" s="18"/>
      <c r="J63" s="18"/>
      <c r="K63" s="18"/>
      <c r="L63" s="18">
        <f>L65</f>
        <v>4.5999999999999999E-2</v>
      </c>
      <c r="M63" s="43" t="e">
        <f t="shared" ref="M63:M65" si="20">L63/C63</f>
        <v>#DIV/0!</v>
      </c>
      <c r="N63" s="43" t="e">
        <f t="shared" si="0"/>
        <v>#DIV/0!</v>
      </c>
      <c r="O63" s="63"/>
    </row>
    <row r="64" spans="1:17" ht="63" customHeight="1" x14ac:dyDescent="0.25">
      <c r="A64" s="61" t="s">
        <v>329</v>
      </c>
      <c r="B64" s="62" t="s">
        <v>332</v>
      </c>
      <c r="C64" s="18"/>
      <c r="D64" s="18"/>
      <c r="E64" s="18"/>
      <c r="F64" s="18"/>
      <c r="G64" s="18"/>
      <c r="H64" s="18"/>
      <c r="I64" s="18"/>
      <c r="J64" s="18"/>
      <c r="K64" s="18"/>
      <c r="L64" s="18">
        <f>L65</f>
        <v>4.5999999999999999E-2</v>
      </c>
      <c r="M64" s="43" t="e">
        <f t="shared" si="20"/>
        <v>#DIV/0!</v>
      </c>
      <c r="N64" s="43" t="e">
        <f t="shared" si="0"/>
        <v>#DIV/0!</v>
      </c>
      <c r="O64" s="63"/>
    </row>
    <row r="65" spans="1:15" ht="140.25" customHeight="1" thickBot="1" x14ac:dyDescent="0.3">
      <c r="A65" s="61" t="s">
        <v>330</v>
      </c>
      <c r="B65" s="62" t="s">
        <v>331</v>
      </c>
      <c r="C65" s="18"/>
      <c r="D65" s="18"/>
      <c r="E65" s="18"/>
      <c r="F65" s="18"/>
      <c r="G65" s="18"/>
      <c r="H65" s="18"/>
      <c r="I65" s="18"/>
      <c r="J65" s="18"/>
      <c r="K65" s="18"/>
      <c r="L65" s="18">
        <v>4.5999999999999999E-2</v>
      </c>
      <c r="M65" s="43" t="e">
        <f t="shared" si="20"/>
        <v>#DIV/0!</v>
      </c>
      <c r="N65" s="43" t="e">
        <f t="shared" si="0"/>
        <v>#DIV/0!</v>
      </c>
      <c r="O65" s="63"/>
    </row>
    <row r="66" spans="1:15" ht="121.5" customHeight="1" thickBot="1" x14ac:dyDescent="0.3">
      <c r="A66" s="61" t="s">
        <v>297</v>
      </c>
      <c r="B66" s="62" t="s">
        <v>298</v>
      </c>
      <c r="C66" s="18">
        <f>C67+C69</f>
        <v>8000</v>
      </c>
      <c r="D66" s="18">
        <f t="shared" ref="D66" si="21">D67+D69</f>
        <v>8000</v>
      </c>
      <c r="E66" s="18">
        <f>E67+E69</f>
        <v>8000</v>
      </c>
      <c r="F66" s="18">
        <f t="shared" ref="F66:L66" si="22">F67+F69</f>
        <v>8000</v>
      </c>
      <c r="G66" s="18">
        <f t="shared" si="22"/>
        <v>8000</v>
      </c>
      <c r="H66" s="18">
        <f t="shared" si="22"/>
        <v>8000</v>
      </c>
      <c r="I66" s="18">
        <f t="shared" si="22"/>
        <v>8000</v>
      </c>
      <c r="J66" s="18">
        <f t="shared" si="22"/>
        <v>8000</v>
      </c>
      <c r="K66" s="18">
        <f t="shared" si="22"/>
        <v>8000</v>
      </c>
      <c r="L66" s="18">
        <f t="shared" si="22"/>
        <v>9263.0051400000011</v>
      </c>
      <c r="M66" s="43">
        <f>L66/C66</f>
        <v>1.1578756425000001</v>
      </c>
      <c r="N66" s="43">
        <f t="shared" si="0"/>
        <v>1.1578756425000001</v>
      </c>
      <c r="O66" s="52" t="s">
        <v>357</v>
      </c>
    </row>
    <row r="67" spans="1:15" ht="126.75" customHeight="1" x14ac:dyDescent="0.25">
      <c r="A67" s="61" t="s">
        <v>104</v>
      </c>
      <c r="B67" s="62" t="s">
        <v>250</v>
      </c>
      <c r="C67" s="18">
        <f t="shared" ref="C67:L67" si="23">C68</f>
        <v>3000</v>
      </c>
      <c r="D67" s="18">
        <f t="shared" si="23"/>
        <v>3000</v>
      </c>
      <c r="E67" s="18">
        <f t="shared" si="23"/>
        <v>3000</v>
      </c>
      <c r="F67" s="18">
        <f t="shared" si="23"/>
        <v>3000</v>
      </c>
      <c r="G67" s="18">
        <f t="shared" si="23"/>
        <v>3000</v>
      </c>
      <c r="H67" s="18">
        <f>H68</f>
        <v>3000</v>
      </c>
      <c r="I67" s="18">
        <f>I68</f>
        <v>3000</v>
      </c>
      <c r="J67" s="18">
        <f t="shared" si="23"/>
        <v>3000</v>
      </c>
      <c r="K67" s="18">
        <f t="shared" si="23"/>
        <v>3000</v>
      </c>
      <c r="L67" s="18">
        <f t="shared" si="23"/>
        <v>3789.8689800000002</v>
      </c>
      <c r="M67" s="43">
        <f>L67/C67</f>
        <v>1.2632896600000001</v>
      </c>
      <c r="N67" s="43">
        <f t="shared" si="0"/>
        <v>1.2632896600000001</v>
      </c>
      <c r="O67" s="91" t="s">
        <v>357</v>
      </c>
    </row>
    <row r="68" spans="1:15" ht="87.75" customHeight="1" thickBot="1" x14ac:dyDescent="0.3">
      <c r="A68" s="61" t="s">
        <v>105</v>
      </c>
      <c r="B68" s="62" t="s">
        <v>251</v>
      </c>
      <c r="C68" s="18">
        <v>3000</v>
      </c>
      <c r="D68" s="18">
        <f t="shared" ref="D68:J68" si="24">C68</f>
        <v>3000</v>
      </c>
      <c r="E68" s="18">
        <f t="shared" si="24"/>
        <v>3000</v>
      </c>
      <c r="F68" s="18">
        <f t="shared" si="24"/>
        <v>3000</v>
      </c>
      <c r="G68" s="18">
        <f t="shared" si="24"/>
        <v>3000</v>
      </c>
      <c r="H68" s="18">
        <f t="shared" si="24"/>
        <v>3000</v>
      </c>
      <c r="I68" s="18">
        <f t="shared" si="24"/>
        <v>3000</v>
      </c>
      <c r="J68" s="18">
        <f t="shared" si="24"/>
        <v>3000</v>
      </c>
      <c r="K68" s="18">
        <f>J68</f>
        <v>3000</v>
      </c>
      <c r="L68" s="18">
        <v>3789.8689800000002</v>
      </c>
      <c r="M68" s="43">
        <f>L68/C68</f>
        <v>1.2632896600000001</v>
      </c>
      <c r="N68" s="43">
        <f t="shared" si="0"/>
        <v>1.2632896600000001</v>
      </c>
      <c r="O68" s="93"/>
    </row>
    <row r="69" spans="1:15" ht="93" customHeight="1" x14ac:dyDescent="0.25">
      <c r="A69" s="61" t="s">
        <v>278</v>
      </c>
      <c r="B69" s="62" t="s">
        <v>279</v>
      </c>
      <c r="C69" s="18">
        <f>C70</f>
        <v>5000</v>
      </c>
      <c r="D69" s="18">
        <f>D70</f>
        <v>5000</v>
      </c>
      <c r="E69" s="18">
        <f>E70</f>
        <v>5000</v>
      </c>
      <c r="F69" s="18">
        <f t="shared" ref="F69:L69" si="25">F70</f>
        <v>5000</v>
      </c>
      <c r="G69" s="18">
        <f t="shared" si="25"/>
        <v>5000</v>
      </c>
      <c r="H69" s="18">
        <f t="shared" si="25"/>
        <v>5000</v>
      </c>
      <c r="I69" s="18">
        <f t="shared" si="25"/>
        <v>5000</v>
      </c>
      <c r="J69" s="18">
        <f t="shared" si="25"/>
        <v>5000</v>
      </c>
      <c r="K69" s="18">
        <f t="shared" si="25"/>
        <v>5000</v>
      </c>
      <c r="L69" s="18">
        <f t="shared" si="25"/>
        <v>5473.13616</v>
      </c>
      <c r="M69" s="43">
        <f>L69/C69</f>
        <v>1.0946272319999999</v>
      </c>
      <c r="N69" s="43">
        <f t="shared" si="0"/>
        <v>1.0946272319999999</v>
      </c>
      <c r="O69" s="91" t="s">
        <v>357</v>
      </c>
    </row>
    <row r="70" spans="1:15" ht="147.75" customHeight="1" thickBot="1" x14ac:dyDescent="0.3">
      <c r="A70" s="53" t="s">
        <v>278</v>
      </c>
      <c r="B70" s="54" t="s">
        <v>280</v>
      </c>
      <c r="C70" s="16">
        <v>5000</v>
      </c>
      <c r="D70" s="16">
        <v>5000</v>
      </c>
      <c r="E70" s="16">
        <f>D70</f>
        <v>5000</v>
      </c>
      <c r="F70" s="16">
        <f t="shared" ref="F70:J70" si="26">E70</f>
        <v>5000</v>
      </c>
      <c r="G70" s="16">
        <f t="shared" si="26"/>
        <v>5000</v>
      </c>
      <c r="H70" s="16">
        <f t="shared" si="26"/>
        <v>5000</v>
      </c>
      <c r="I70" s="16">
        <f t="shared" si="26"/>
        <v>5000</v>
      </c>
      <c r="J70" s="16">
        <f t="shared" si="26"/>
        <v>5000</v>
      </c>
      <c r="K70" s="16">
        <f>J70</f>
        <v>5000</v>
      </c>
      <c r="L70" s="16">
        <v>5473.13616</v>
      </c>
      <c r="M70" s="55">
        <f>L70/C70</f>
        <v>1.0946272319999999</v>
      </c>
      <c r="N70" s="43">
        <f t="shared" si="0"/>
        <v>1.0946272319999999</v>
      </c>
      <c r="O70" s="93"/>
    </row>
    <row r="71" spans="1:15" ht="74.25" customHeight="1" x14ac:dyDescent="0.25">
      <c r="A71" s="57" t="s">
        <v>107</v>
      </c>
      <c r="B71" s="58" t="s">
        <v>106</v>
      </c>
      <c r="C71" s="17">
        <f t="shared" ref="C71:L71" si="27">C72</f>
        <v>1020</v>
      </c>
      <c r="D71" s="17">
        <f t="shared" si="27"/>
        <v>1020</v>
      </c>
      <c r="E71" s="17">
        <f t="shared" si="27"/>
        <v>1020</v>
      </c>
      <c r="F71" s="17">
        <f t="shared" si="27"/>
        <v>1020</v>
      </c>
      <c r="G71" s="17">
        <f t="shared" si="27"/>
        <v>1020</v>
      </c>
      <c r="H71" s="17">
        <f>H72</f>
        <v>1020</v>
      </c>
      <c r="I71" s="17">
        <f>I72</f>
        <v>1020</v>
      </c>
      <c r="J71" s="17">
        <f t="shared" si="27"/>
        <v>1020</v>
      </c>
      <c r="K71" s="17">
        <f t="shared" si="27"/>
        <v>1200</v>
      </c>
      <c r="L71" s="17">
        <f t="shared" si="27"/>
        <v>1274.62139</v>
      </c>
      <c r="M71" s="59">
        <f>L71/C71</f>
        <v>1.2496288137254903</v>
      </c>
      <c r="N71" s="43">
        <f t="shared" si="0"/>
        <v>1.0621844916666667</v>
      </c>
      <c r="O71" s="91" t="s">
        <v>359</v>
      </c>
    </row>
    <row r="72" spans="1:15" ht="21.75" customHeight="1" thickBot="1" x14ac:dyDescent="0.3">
      <c r="A72" s="61" t="s">
        <v>109</v>
      </c>
      <c r="B72" s="62" t="s">
        <v>108</v>
      </c>
      <c r="C72" s="18">
        <v>1020</v>
      </c>
      <c r="D72" s="18">
        <v>1020</v>
      </c>
      <c r="E72" s="18">
        <f>D72</f>
        <v>1020</v>
      </c>
      <c r="F72" s="18">
        <f t="shared" ref="F72:J72" si="28">E72</f>
        <v>1020</v>
      </c>
      <c r="G72" s="18">
        <f t="shared" si="28"/>
        <v>1020</v>
      </c>
      <c r="H72" s="18">
        <f t="shared" si="28"/>
        <v>1020</v>
      </c>
      <c r="I72" s="18">
        <f t="shared" si="28"/>
        <v>1020</v>
      </c>
      <c r="J72" s="18">
        <f t="shared" si="28"/>
        <v>1020</v>
      </c>
      <c r="K72" s="18">
        <f>J72+180</f>
        <v>1200</v>
      </c>
      <c r="L72" s="18">
        <v>1274.62139</v>
      </c>
      <c r="M72" s="43">
        <f>L72/C72</f>
        <v>1.2496288137254903</v>
      </c>
      <c r="N72" s="43">
        <f t="shared" si="0"/>
        <v>1.0621844916666667</v>
      </c>
      <c r="O72" s="92"/>
    </row>
    <row r="73" spans="1:15" ht="27" hidden="1" customHeight="1" x14ac:dyDescent="0.25">
      <c r="A73" s="61" t="s">
        <v>111</v>
      </c>
      <c r="B73" s="62" t="s">
        <v>110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43" t="e">
        <f>L73/C73</f>
        <v>#DIV/0!</v>
      </c>
      <c r="N73" s="43" t="e">
        <f t="shared" si="0"/>
        <v>#DIV/0!</v>
      </c>
      <c r="O73" s="94"/>
    </row>
    <row r="74" spans="1:15" ht="27.75" hidden="1" customHeight="1" x14ac:dyDescent="0.25">
      <c r="A74" s="61" t="s">
        <v>113</v>
      </c>
      <c r="B74" s="62" t="s">
        <v>112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43" t="e">
        <f>L74/C74</f>
        <v>#DIV/0!</v>
      </c>
      <c r="N74" s="43" t="e">
        <f t="shared" ref="N74:N137" si="29">L74/K74</f>
        <v>#DIV/0!</v>
      </c>
      <c r="O74" s="94"/>
    </row>
    <row r="75" spans="1:15" ht="24.75" hidden="1" customHeight="1" x14ac:dyDescent="0.25">
      <c r="A75" s="61" t="s">
        <v>115</v>
      </c>
      <c r="B75" s="62" t="s">
        <v>114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43" t="e">
        <f>L75/C75</f>
        <v>#DIV/0!</v>
      </c>
      <c r="N75" s="43" t="e">
        <f t="shared" si="29"/>
        <v>#DIV/0!</v>
      </c>
      <c r="O75" s="94"/>
    </row>
    <row r="76" spans="1:15" ht="17.25" hidden="1" customHeight="1" x14ac:dyDescent="0.25">
      <c r="A76" s="61" t="s">
        <v>117</v>
      </c>
      <c r="B76" s="62" t="s">
        <v>116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43" t="e">
        <f>L76/C76</f>
        <v>#DIV/0!</v>
      </c>
      <c r="N76" s="43" t="e">
        <f t="shared" si="29"/>
        <v>#DIV/0!</v>
      </c>
      <c r="O76" s="94"/>
    </row>
    <row r="77" spans="1:15" ht="24" hidden="1" customHeight="1" thickBot="1" x14ac:dyDescent="0.3">
      <c r="A77" s="53" t="s">
        <v>119</v>
      </c>
      <c r="B77" s="54" t="s">
        <v>118</v>
      </c>
      <c r="C77" s="16"/>
      <c r="D77" s="18"/>
      <c r="E77" s="16"/>
      <c r="F77" s="16"/>
      <c r="G77" s="16"/>
      <c r="H77" s="16"/>
      <c r="I77" s="16"/>
      <c r="J77" s="16"/>
      <c r="K77" s="16"/>
      <c r="L77" s="16"/>
      <c r="M77" s="55" t="e">
        <f>L77/C77</f>
        <v>#DIV/0!</v>
      </c>
      <c r="N77" s="43" t="e">
        <f t="shared" si="29"/>
        <v>#DIV/0!</v>
      </c>
      <c r="O77" s="95"/>
    </row>
    <row r="78" spans="1:15" ht="81.75" customHeight="1" thickBot="1" x14ac:dyDescent="0.3">
      <c r="A78" s="49" t="s">
        <v>121</v>
      </c>
      <c r="B78" s="50" t="s">
        <v>120</v>
      </c>
      <c r="C78" s="15">
        <f>C81</f>
        <v>110</v>
      </c>
      <c r="D78" s="15">
        <f>D81</f>
        <v>110</v>
      </c>
      <c r="E78" s="15">
        <f>E83</f>
        <v>110</v>
      </c>
      <c r="F78" s="15">
        <f>F83</f>
        <v>110</v>
      </c>
      <c r="G78" s="15">
        <f>G83</f>
        <v>110</v>
      </c>
      <c r="H78" s="15">
        <f>G78</f>
        <v>110</v>
      </c>
      <c r="I78" s="15">
        <f>H78</f>
        <v>110</v>
      </c>
      <c r="J78" s="15">
        <f>J83</f>
        <v>110</v>
      </c>
      <c r="K78" s="15">
        <f>K81</f>
        <v>6710</v>
      </c>
      <c r="L78" s="15">
        <f>L81+L79</f>
        <v>6781.3210399999998</v>
      </c>
      <c r="M78" s="51">
        <f>L78/C78</f>
        <v>61.648373090909089</v>
      </c>
      <c r="N78" s="43">
        <f t="shared" si="29"/>
        <v>1.0106290670640834</v>
      </c>
      <c r="O78" s="91" t="s">
        <v>350</v>
      </c>
    </row>
    <row r="79" spans="1:15" ht="50.25" hidden="1" customHeight="1" thickBot="1" x14ac:dyDescent="0.3">
      <c r="A79" s="57" t="s">
        <v>299</v>
      </c>
      <c r="B79" s="58" t="s">
        <v>300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51" t="e">
        <f>L79/C79</f>
        <v>#DIV/0!</v>
      </c>
      <c r="N79" s="43" t="e">
        <f t="shared" si="29"/>
        <v>#DIV/0!</v>
      </c>
      <c r="O79" s="96"/>
    </row>
    <row r="80" spans="1:15" ht="79.5" hidden="1" customHeight="1" thickBot="1" x14ac:dyDescent="0.3">
      <c r="A80" s="57" t="s">
        <v>301</v>
      </c>
      <c r="B80" s="58" t="s">
        <v>302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51" t="e">
        <f>L80/C80</f>
        <v>#DIV/0!</v>
      </c>
      <c r="N80" s="43" t="e">
        <f t="shared" si="29"/>
        <v>#DIV/0!</v>
      </c>
      <c r="O80" s="96"/>
    </row>
    <row r="81" spans="1:15" ht="24" thickBot="1" x14ac:dyDescent="0.3">
      <c r="A81" s="61" t="s">
        <v>123</v>
      </c>
      <c r="B81" s="62" t="s">
        <v>122</v>
      </c>
      <c r="C81" s="21">
        <f>C82</f>
        <v>110</v>
      </c>
      <c r="D81" s="21">
        <f>D82</f>
        <v>110</v>
      </c>
      <c r="E81" s="21">
        <f t="shared" ref="E81:L82" si="30">E82</f>
        <v>110</v>
      </c>
      <c r="F81" s="21">
        <f t="shared" si="30"/>
        <v>110</v>
      </c>
      <c r="G81" s="21">
        <f t="shared" si="30"/>
        <v>110</v>
      </c>
      <c r="H81" s="21">
        <f t="shared" si="30"/>
        <v>110</v>
      </c>
      <c r="I81" s="21">
        <f t="shared" si="30"/>
        <v>110</v>
      </c>
      <c r="J81" s="21">
        <f t="shared" si="30"/>
        <v>110</v>
      </c>
      <c r="K81" s="21">
        <f t="shared" si="30"/>
        <v>6710</v>
      </c>
      <c r="L81" s="21">
        <f t="shared" si="30"/>
        <v>6781.3210399999998</v>
      </c>
      <c r="M81" s="51">
        <f>L81/C81</f>
        <v>61.648373090909089</v>
      </c>
      <c r="N81" s="43">
        <f t="shared" si="29"/>
        <v>1.0106290670640834</v>
      </c>
      <c r="O81" s="96"/>
    </row>
    <row r="82" spans="1:15" ht="24.75" customHeight="1" thickBot="1" x14ac:dyDescent="0.3">
      <c r="A82" s="61" t="s">
        <v>125</v>
      </c>
      <c r="B82" s="62" t="s">
        <v>124</v>
      </c>
      <c r="C82" s="21">
        <f>C83</f>
        <v>110</v>
      </c>
      <c r="D82" s="21">
        <f>D83</f>
        <v>110</v>
      </c>
      <c r="E82" s="21">
        <f t="shared" si="30"/>
        <v>110</v>
      </c>
      <c r="F82" s="21">
        <f t="shared" si="30"/>
        <v>110</v>
      </c>
      <c r="G82" s="21">
        <f t="shared" si="30"/>
        <v>110</v>
      </c>
      <c r="H82" s="21">
        <f t="shared" si="30"/>
        <v>110</v>
      </c>
      <c r="I82" s="21">
        <f t="shared" si="30"/>
        <v>110</v>
      </c>
      <c r="J82" s="21">
        <f t="shared" si="30"/>
        <v>110</v>
      </c>
      <c r="K82" s="21">
        <f t="shared" si="30"/>
        <v>6710</v>
      </c>
      <c r="L82" s="21">
        <f t="shared" si="30"/>
        <v>6781.3210399999998</v>
      </c>
      <c r="M82" s="51">
        <f>L82/C82</f>
        <v>61.648373090909089</v>
      </c>
      <c r="N82" s="43">
        <f t="shared" si="29"/>
        <v>1.0106290670640834</v>
      </c>
      <c r="O82" s="96"/>
    </row>
    <row r="83" spans="1:15" ht="30.75" customHeight="1" thickBot="1" x14ac:dyDescent="0.3">
      <c r="A83" s="53" t="s">
        <v>127</v>
      </c>
      <c r="B83" s="54" t="s">
        <v>126</v>
      </c>
      <c r="C83" s="24">
        <v>110</v>
      </c>
      <c r="D83" s="24">
        <v>110</v>
      </c>
      <c r="E83" s="24">
        <v>110</v>
      </c>
      <c r="F83" s="24">
        <v>110</v>
      </c>
      <c r="G83" s="24">
        <v>110</v>
      </c>
      <c r="H83" s="24">
        <v>110</v>
      </c>
      <c r="I83" s="24">
        <v>110</v>
      </c>
      <c r="J83" s="24">
        <v>110</v>
      </c>
      <c r="K83" s="24">
        <f>J83+6600</f>
        <v>6710</v>
      </c>
      <c r="L83" s="24">
        <v>6781.3210399999998</v>
      </c>
      <c r="M83" s="51">
        <f>L83/C83</f>
        <v>61.648373090909089</v>
      </c>
      <c r="N83" s="43">
        <f t="shared" si="29"/>
        <v>1.0106290670640834</v>
      </c>
      <c r="O83" s="93"/>
    </row>
    <row r="84" spans="1:15" ht="34.5" x14ac:dyDescent="0.25">
      <c r="A84" s="71" t="s">
        <v>129</v>
      </c>
      <c r="B84" s="58" t="s">
        <v>128</v>
      </c>
      <c r="C84" s="17">
        <f t="shared" ref="C84:L84" si="31">C85+C88</f>
        <v>7500</v>
      </c>
      <c r="D84" s="17">
        <f t="shared" si="31"/>
        <v>27500</v>
      </c>
      <c r="E84" s="17">
        <f t="shared" si="31"/>
        <v>27500</v>
      </c>
      <c r="F84" s="17">
        <f t="shared" si="31"/>
        <v>21169.464749999999</v>
      </c>
      <c r="G84" s="17">
        <f t="shared" si="31"/>
        <v>21169.464749999999</v>
      </c>
      <c r="H84" s="17">
        <f>H85+H88</f>
        <v>21169.464749999999</v>
      </c>
      <c r="I84" s="17">
        <f>I85+I88</f>
        <v>21169.464749999999</v>
      </c>
      <c r="J84" s="17">
        <f t="shared" si="31"/>
        <v>21169.464749999999</v>
      </c>
      <c r="K84" s="17">
        <f t="shared" si="31"/>
        <v>20139.464749999999</v>
      </c>
      <c r="L84" s="17">
        <f t="shared" si="31"/>
        <v>21284.28184</v>
      </c>
      <c r="M84" s="59">
        <f>L84/C84</f>
        <v>2.8379042453333332</v>
      </c>
      <c r="N84" s="43">
        <f t="shared" si="29"/>
        <v>1.0568444645481454</v>
      </c>
      <c r="O84" s="72" t="s">
        <v>353</v>
      </c>
    </row>
    <row r="85" spans="1:15" ht="138" customHeight="1" x14ac:dyDescent="0.25">
      <c r="A85" s="73" t="s">
        <v>131</v>
      </c>
      <c r="B85" s="62" t="s">
        <v>130</v>
      </c>
      <c r="C85" s="18">
        <f t="shared" ref="C85:J86" si="32">C86</f>
        <v>4000</v>
      </c>
      <c r="D85" s="18">
        <f t="shared" si="32"/>
        <v>14000</v>
      </c>
      <c r="E85" s="18">
        <f t="shared" si="32"/>
        <v>14000</v>
      </c>
      <c r="F85" s="18">
        <f t="shared" si="32"/>
        <v>14000</v>
      </c>
      <c r="G85" s="18">
        <f t="shared" si="32"/>
        <v>14000</v>
      </c>
      <c r="H85" s="18">
        <f>H86</f>
        <v>14000</v>
      </c>
      <c r="I85" s="18">
        <f>I86</f>
        <v>14000</v>
      </c>
      <c r="J85" s="18">
        <f t="shared" si="32"/>
        <v>14000</v>
      </c>
      <c r="K85" s="18">
        <f>K87</f>
        <v>15000</v>
      </c>
      <c r="L85" s="18">
        <f>L87</f>
        <v>15079.745940000001</v>
      </c>
      <c r="M85" s="43">
        <f>L85/C85</f>
        <v>3.7699364850000001</v>
      </c>
      <c r="N85" s="43">
        <f t="shared" si="29"/>
        <v>1.005316396</v>
      </c>
      <c r="O85" s="99" t="s">
        <v>351</v>
      </c>
    </row>
    <row r="86" spans="1:15" ht="24.75" customHeight="1" x14ac:dyDescent="0.25">
      <c r="A86" s="73" t="s">
        <v>133</v>
      </c>
      <c r="B86" s="62" t="s">
        <v>132</v>
      </c>
      <c r="C86" s="18">
        <f t="shared" si="32"/>
        <v>4000</v>
      </c>
      <c r="D86" s="18">
        <f t="shared" si="32"/>
        <v>14000</v>
      </c>
      <c r="E86" s="18">
        <f t="shared" si="32"/>
        <v>14000</v>
      </c>
      <c r="F86" s="18">
        <f t="shared" si="32"/>
        <v>14000</v>
      </c>
      <c r="G86" s="18">
        <f t="shared" si="32"/>
        <v>14000</v>
      </c>
      <c r="H86" s="18">
        <f>H87</f>
        <v>14000</v>
      </c>
      <c r="I86" s="18">
        <f>I87</f>
        <v>14000</v>
      </c>
      <c r="J86" s="18">
        <f t="shared" si="32"/>
        <v>14000</v>
      </c>
      <c r="K86" s="18">
        <f>K87</f>
        <v>15000</v>
      </c>
      <c r="L86" s="18">
        <f>L87</f>
        <v>15079.745940000001</v>
      </c>
      <c r="M86" s="43">
        <f>L86/C86</f>
        <v>3.7699364850000001</v>
      </c>
      <c r="N86" s="43">
        <f t="shared" si="29"/>
        <v>1.005316396</v>
      </c>
      <c r="O86" s="100"/>
    </row>
    <row r="87" spans="1:15" ht="36.75" customHeight="1" x14ac:dyDescent="0.25">
      <c r="A87" s="73" t="s">
        <v>135</v>
      </c>
      <c r="B87" s="62" t="s">
        <v>134</v>
      </c>
      <c r="C87" s="18">
        <v>4000</v>
      </c>
      <c r="D87" s="18">
        <f>C87+10000</f>
        <v>14000</v>
      </c>
      <c r="E87" s="18">
        <f t="shared" ref="E87:J87" si="33">D87</f>
        <v>14000</v>
      </c>
      <c r="F87" s="18">
        <f t="shared" si="33"/>
        <v>14000</v>
      </c>
      <c r="G87" s="18">
        <f t="shared" si="33"/>
        <v>14000</v>
      </c>
      <c r="H87" s="18">
        <f t="shared" si="33"/>
        <v>14000</v>
      </c>
      <c r="I87" s="18">
        <f t="shared" si="33"/>
        <v>14000</v>
      </c>
      <c r="J87" s="18">
        <f t="shared" si="33"/>
        <v>14000</v>
      </c>
      <c r="K87" s="18">
        <f>J87+1000</f>
        <v>15000</v>
      </c>
      <c r="L87" s="18">
        <v>15079.745940000001</v>
      </c>
      <c r="M87" s="43">
        <f>L87/C87</f>
        <v>3.7699364850000001</v>
      </c>
      <c r="N87" s="43">
        <f t="shared" si="29"/>
        <v>1.005316396</v>
      </c>
      <c r="O87" s="101"/>
    </row>
    <row r="88" spans="1:15" ht="45.75" x14ac:dyDescent="0.25">
      <c r="A88" s="73" t="s">
        <v>137</v>
      </c>
      <c r="B88" s="62" t="s">
        <v>136</v>
      </c>
      <c r="C88" s="18">
        <f t="shared" ref="C88:J89" si="34">C89</f>
        <v>3500</v>
      </c>
      <c r="D88" s="18">
        <f t="shared" si="34"/>
        <v>13500</v>
      </c>
      <c r="E88" s="18">
        <f t="shared" si="34"/>
        <v>13500</v>
      </c>
      <c r="F88" s="18">
        <f t="shared" si="34"/>
        <v>7169.4647500000001</v>
      </c>
      <c r="G88" s="18">
        <f t="shared" si="34"/>
        <v>7169.4647500000001</v>
      </c>
      <c r="H88" s="18">
        <f>H89</f>
        <v>7169.4647500000001</v>
      </c>
      <c r="I88" s="18">
        <f>I89</f>
        <v>7169.4647500000001</v>
      </c>
      <c r="J88" s="18">
        <f t="shared" si="34"/>
        <v>7169.4647500000001</v>
      </c>
      <c r="K88" s="18">
        <f>K89+K91</f>
        <v>5139.4647500000001</v>
      </c>
      <c r="L88" s="18">
        <f>L89+L91</f>
        <v>6204.5358999999999</v>
      </c>
      <c r="M88" s="43">
        <f>L88/C88</f>
        <v>1.7727245428571428</v>
      </c>
      <c r="N88" s="43">
        <f t="shared" si="29"/>
        <v>1.2072338661336279</v>
      </c>
      <c r="O88" s="74" t="s">
        <v>352</v>
      </c>
    </row>
    <row r="89" spans="1:15" ht="42" customHeight="1" x14ac:dyDescent="0.25">
      <c r="A89" s="73" t="s">
        <v>139</v>
      </c>
      <c r="B89" s="62" t="s">
        <v>138</v>
      </c>
      <c r="C89" s="18">
        <f t="shared" si="34"/>
        <v>3500</v>
      </c>
      <c r="D89" s="18">
        <f t="shared" si="34"/>
        <v>13500</v>
      </c>
      <c r="E89" s="18">
        <f t="shared" si="34"/>
        <v>13500</v>
      </c>
      <c r="F89" s="18">
        <f t="shared" si="34"/>
        <v>7169.4647500000001</v>
      </c>
      <c r="G89" s="18">
        <f t="shared" si="34"/>
        <v>7169.4647500000001</v>
      </c>
      <c r="H89" s="18">
        <f>H90</f>
        <v>7169.4647500000001</v>
      </c>
      <c r="I89" s="18">
        <f>I90</f>
        <v>7169.4647500000001</v>
      </c>
      <c r="J89" s="18">
        <f t="shared" si="34"/>
        <v>7169.4647500000001</v>
      </c>
      <c r="K89" s="18">
        <f>K90</f>
        <v>4189.4647500000001</v>
      </c>
      <c r="L89" s="18">
        <f>L90</f>
        <v>5247.6224400000001</v>
      </c>
      <c r="M89" s="43">
        <f>L89/C89</f>
        <v>1.4993206971428572</v>
      </c>
      <c r="N89" s="43">
        <f t="shared" si="29"/>
        <v>1.2525758666426301</v>
      </c>
      <c r="O89" s="102" t="s">
        <v>352</v>
      </c>
    </row>
    <row r="90" spans="1:15" ht="38.25" customHeight="1" x14ac:dyDescent="0.25">
      <c r="A90" s="73" t="s">
        <v>141</v>
      </c>
      <c r="B90" s="62" t="s">
        <v>140</v>
      </c>
      <c r="C90" s="18">
        <v>3500</v>
      </c>
      <c r="D90" s="18">
        <f>C90+10000</f>
        <v>13500</v>
      </c>
      <c r="E90" s="18">
        <f t="shared" ref="E90:J90" si="35">D90</f>
        <v>13500</v>
      </c>
      <c r="F90" s="18">
        <f>E90-6330.53525</f>
        <v>7169.4647500000001</v>
      </c>
      <c r="G90" s="18">
        <f t="shared" si="35"/>
        <v>7169.4647500000001</v>
      </c>
      <c r="H90" s="18">
        <f t="shared" si="35"/>
        <v>7169.4647500000001</v>
      </c>
      <c r="I90" s="18">
        <f t="shared" si="35"/>
        <v>7169.4647500000001</v>
      </c>
      <c r="J90" s="18">
        <f t="shared" si="35"/>
        <v>7169.4647500000001</v>
      </c>
      <c r="K90" s="18">
        <f>J90-2980</f>
        <v>4189.4647500000001</v>
      </c>
      <c r="L90" s="18">
        <v>5247.6224400000001</v>
      </c>
      <c r="M90" s="43">
        <f>L90/C90</f>
        <v>1.4993206971428572</v>
      </c>
      <c r="N90" s="43">
        <f t="shared" si="29"/>
        <v>1.2525758666426301</v>
      </c>
      <c r="O90" s="103"/>
    </row>
    <row r="91" spans="1:15" ht="101.25" customHeight="1" x14ac:dyDescent="0.25">
      <c r="A91" s="73" t="s">
        <v>143</v>
      </c>
      <c r="B91" s="62" t="s">
        <v>142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f>K92</f>
        <v>950</v>
      </c>
      <c r="L91" s="21">
        <f>L92</f>
        <v>956.91345999999999</v>
      </c>
      <c r="M91" s="43" t="e">
        <f>L91/C91</f>
        <v>#DIV/0!</v>
      </c>
      <c r="N91" s="43">
        <f t="shared" si="29"/>
        <v>1.0072773263157895</v>
      </c>
      <c r="O91" s="74"/>
    </row>
    <row r="92" spans="1:15" ht="46.5" customHeight="1" x14ac:dyDescent="0.25">
      <c r="A92" s="73" t="s">
        <v>145</v>
      </c>
      <c r="B92" s="62" t="s">
        <v>144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f>K93</f>
        <v>950</v>
      </c>
      <c r="L92" s="21">
        <f>L93</f>
        <v>956.91345999999999</v>
      </c>
      <c r="M92" s="43" t="e">
        <f>L92/C92</f>
        <v>#DIV/0!</v>
      </c>
      <c r="N92" s="43">
        <f t="shared" si="29"/>
        <v>1.0072773263157895</v>
      </c>
      <c r="O92" s="74"/>
    </row>
    <row r="93" spans="1:15" ht="36.75" customHeight="1" thickBot="1" x14ac:dyDescent="0.3">
      <c r="A93" s="75" t="s">
        <v>147</v>
      </c>
      <c r="B93" s="65" t="s">
        <v>146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950</v>
      </c>
      <c r="L93" s="22">
        <v>956.91345999999999</v>
      </c>
      <c r="M93" s="47" t="e">
        <f>L93/C93</f>
        <v>#DIV/0!</v>
      </c>
      <c r="N93" s="43">
        <f t="shared" si="29"/>
        <v>1.0072773263157895</v>
      </c>
      <c r="O93" s="76"/>
    </row>
    <row r="94" spans="1:15" ht="31.5" x14ac:dyDescent="0.25">
      <c r="A94" s="49" t="s">
        <v>149</v>
      </c>
      <c r="B94" s="50" t="s">
        <v>148</v>
      </c>
      <c r="C94" s="15">
        <f t="shared" ref="C94:L95" si="36">C95</f>
        <v>2000</v>
      </c>
      <c r="D94" s="15">
        <f t="shared" si="36"/>
        <v>2000</v>
      </c>
      <c r="E94" s="15">
        <f t="shared" si="36"/>
        <v>2000</v>
      </c>
      <c r="F94" s="15">
        <f t="shared" si="36"/>
        <v>2000</v>
      </c>
      <c r="G94" s="15">
        <f t="shared" si="36"/>
        <v>2000</v>
      </c>
      <c r="H94" s="15">
        <f>H95</f>
        <v>2000</v>
      </c>
      <c r="I94" s="15">
        <f>I95</f>
        <v>2000</v>
      </c>
      <c r="J94" s="15">
        <f t="shared" si="36"/>
        <v>2000</v>
      </c>
      <c r="K94" s="15">
        <f>K95</f>
        <v>820</v>
      </c>
      <c r="L94" s="15">
        <f t="shared" si="36"/>
        <v>1059.0923499999999</v>
      </c>
      <c r="M94" s="51">
        <f>L94/C94</f>
        <v>0.5295461749999999</v>
      </c>
      <c r="N94" s="43">
        <f t="shared" si="29"/>
        <v>1.2915760365853657</v>
      </c>
      <c r="O94" s="52" t="s">
        <v>274</v>
      </c>
    </row>
    <row r="95" spans="1:15" ht="80.25" customHeight="1" x14ac:dyDescent="0.25">
      <c r="A95" s="61" t="s">
        <v>227</v>
      </c>
      <c r="B95" s="62" t="s">
        <v>228</v>
      </c>
      <c r="C95" s="18">
        <f t="shared" si="36"/>
        <v>2000</v>
      </c>
      <c r="D95" s="18">
        <f t="shared" si="36"/>
        <v>2000</v>
      </c>
      <c r="E95" s="18">
        <f t="shared" si="36"/>
        <v>2000</v>
      </c>
      <c r="F95" s="18">
        <f t="shared" si="36"/>
        <v>2000</v>
      </c>
      <c r="G95" s="18">
        <f t="shared" si="36"/>
        <v>2000</v>
      </c>
      <c r="H95" s="18">
        <f>H96</f>
        <v>2000</v>
      </c>
      <c r="I95" s="18">
        <f>I96</f>
        <v>2000</v>
      </c>
      <c r="J95" s="18">
        <f t="shared" si="36"/>
        <v>2000</v>
      </c>
      <c r="K95" s="18">
        <f>K96</f>
        <v>820</v>
      </c>
      <c r="L95" s="18">
        <f t="shared" si="36"/>
        <v>1059.0923499999999</v>
      </c>
      <c r="M95" s="43">
        <f>L95/C95</f>
        <v>0.5295461749999999</v>
      </c>
      <c r="N95" s="43">
        <f t="shared" si="29"/>
        <v>1.2915760365853657</v>
      </c>
      <c r="O95" s="63"/>
    </row>
    <row r="96" spans="1:15" ht="91.5" thickBot="1" x14ac:dyDescent="0.3">
      <c r="A96" s="53" t="s">
        <v>229</v>
      </c>
      <c r="B96" s="54" t="s">
        <v>230</v>
      </c>
      <c r="C96" s="16">
        <v>2000</v>
      </c>
      <c r="D96" s="16">
        <f t="shared" ref="D96:J96" si="37">C96</f>
        <v>2000</v>
      </c>
      <c r="E96" s="16">
        <f t="shared" si="37"/>
        <v>2000</v>
      </c>
      <c r="F96" s="16">
        <f t="shared" si="37"/>
        <v>2000</v>
      </c>
      <c r="G96" s="16">
        <f t="shared" si="37"/>
        <v>2000</v>
      </c>
      <c r="H96" s="16">
        <f t="shared" si="37"/>
        <v>2000</v>
      </c>
      <c r="I96" s="16">
        <f t="shared" si="37"/>
        <v>2000</v>
      </c>
      <c r="J96" s="16">
        <f t="shared" si="37"/>
        <v>2000</v>
      </c>
      <c r="K96" s="16">
        <f>J96-1180</f>
        <v>820</v>
      </c>
      <c r="L96" s="16">
        <v>1059.0923499999999</v>
      </c>
      <c r="M96" s="55">
        <f>L96/C96</f>
        <v>0.5295461749999999</v>
      </c>
      <c r="N96" s="43">
        <f t="shared" si="29"/>
        <v>1.2915760365853657</v>
      </c>
      <c r="O96" s="56"/>
    </row>
    <row r="97" spans="1:15" ht="79.5" customHeight="1" x14ac:dyDescent="0.25">
      <c r="A97" s="49" t="s">
        <v>151</v>
      </c>
      <c r="B97" s="50" t="s">
        <v>150</v>
      </c>
      <c r="C97" s="15">
        <f t="shared" ref="C97:J97" si="38">C98+C100</f>
        <v>1000</v>
      </c>
      <c r="D97" s="15">
        <f t="shared" si="38"/>
        <v>1000</v>
      </c>
      <c r="E97" s="15">
        <f t="shared" si="38"/>
        <v>1000</v>
      </c>
      <c r="F97" s="15">
        <f t="shared" si="38"/>
        <v>1000</v>
      </c>
      <c r="G97" s="15">
        <f t="shared" si="38"/>
        <v>1000</v>
      </c>
      <c r="H97" s="15">
        <f>H98+H100</f>
        <v>1000</v>
      </c>
      <c r="I97" s="15">
        <f>I98+I100</f>
        <v>1000</v>
      </c>
      <c r="J97" s="15">
        <f t="shared" si="38"/>
        <v>1000</v>
      </c>
      <c r="K97" s="15">
        <f>K100+K98</f>
        <v>200</v>
      </c>
      <c r="L97" s="15">
        <f>L98+L100</f>
        <v>250.30410000000001</v>
      </c>
      <c r="M97" s="51">
        <f>L97/C97</f>
        <v>0.25030410000000003</v>
      </c>
      <c r="N97" s="43">
        <f t="shared" si="29"/>
        <v>1.2515205</v>
      </c>
      <c r="O97" s="52" t="s">
        <v>360</v>
      </c>
    </row>
    <row r="98" spans="1:15" ht="15.75" x14ac:dyDescent="0.25">
      <c r="A98" s="61" t="s">
        <v>153</v>
      </c>
      <c r="B98" s="62" t="s">
        <v>152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f>H99</f>
        <v>0</v>
      </c>
      <c r="I98" s="18">
        <f>I99</f>
        <v>0</v>
      </c>
      <c r="J98" s="18">
        <v>0</v>
      </c>
      <c r="K98" s="18">
        <f>K99</f>
        <v>0</v>
      </c>
      <c r="L98" s="18">
        <f>L99</f>
        <v>3.86477</v>
      </c>
      <c r="M98" s="43" t="e">
        <f>L98/C98</f>
        <v>#DIV/0!</v>
      </c>
      <c r="N98" s="43" t="e">
        <f t="shared" si="29"/>
        <v>#DIV/0!</v>
      </c>
      <c r="O98" s="63"/>
    </row>
    <row r="99" spans="1:15" ht="34.5" x14ac:dyDescent="0.25">
      <c r="A99" s="61" t="s">
        <v>155</v>
      </c>
      <c r="B99" s="62" t="s">
        <v>154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f>G99</f>
        <v>0</v>
      </c>
      <c r="I99" s="18">
        <v>0</v>
      </c>
      <c r="J99" s="18">
        <v>0</v>
      </c>
      <c r="K99" s="18">
        <v>0</v>
      </c>
      <c r="L99" s="18">
        <v>3.86477</v>
      </c>
      <c r="M99" s="43" t="e">
        <f>L99/C99</f>
        <v>#DIV/0!</v>
      </c>
      <c r="N99" s="43" t="e">
        <f t="shared" si="29"/>
        <v>#DIV/0!</v>
      </c>
      <c r="O99" s="63"/>
    </row>
    <row r="100" spans="1:15" ht="15.75" x14ac:dyDescent="0.25">
      <c r="A100" s="61" t="s">
        <v>157</v>
      </c>
      <c r="B100" s="62" t="s">
        <v>156</v>
      </c>
      <c r="C100" s="18">
        <f t="shared" ref="C100:L100" si="39">C101</f>
        <v>1000</v>
      </c>
      <c r="D100" s="18">
        <f t="shared" si="39"/>
        <v>1000</v>
      </c>
      <c r="E100" s="18">
        <f t="shared" si="39"/>
        <v>1000</v>
      </c>
      <c r="F100" s="18">
        <f t="shared" si="39"/>
        <v>1000</v>
      </c>
      <c r="G100" s="18">
        <f t="shared" si="39"/>
        <v>1000</v>
      </c>
      <c r="H100" s="18">
        <f>H101</f>
        <v>1000</v>
      </c>
      <c r="I100" s="18">
        <f>I101</f>
        <v>1000</v>
      </c>
      <c r="J100" s="18">
        <f t="shared" si="39"/>
        <v>1000</v>
      </c>
      <c r="K100" s="18">
        <f t="shared" si="39"/>
        <v>200</v>
      </c>
      <c r="L100" s="18">
        <f t="shared" si="39"/>
        <v>246.43933000000001</v>
      </c>
      <c r="M100" s="43">
        <f>L100/C100</f>
        <v>0.24643933000000001</v>
      </c>
      <c r="N100" s="43">
        <f t="shared" si="29"/>
        <v>1.2321966500000001</v>
      </c>
      <c r="O100" s="63" t="s">
        <v>360</v>
      </c>
    </row>
    <row r="101" spans="1:15" ht="24" thickBot="1" x14ac:dyDescent="0.3">
      <c r="A101" s="53" t="s">
        <v>159</v>
      </c>
      <c r="B101" s="54" t="s">
        <v>158</v>
      </c>
      <c r="C101" s="16">
        <v>1000</v>
      </c>
      <c r="D101" s="16">
        <f t="shared" ref="D101:J101" si="40">C101</f>
        <v>1000</v>
      </c>
      <c r="E101" s="16">
        <f t="shared" si="40"/>
        <v>1000</v>
      </c>
      <c r="F101" s="16">
        <f t="shared" si="40"/>
        <v>1000</v>
      </c>
      <c r="G101" s="16">
        <f t="shared" si="40"/>
        <v>1000</v>
      </c>
      <c r="H101" s="16">
        <f t="shared" si="40"/>
        <v>1000</v>
      </c>
      <c r="I101" s="16">
        <f t="shared" si="40"/>
        <v>1000</v>
      </c>
      <c r="J101" s="16">
        <f t="shared" si="40"/>
        <v>1000</v>
      </c>
      <c r="K101" s="16">
        <f>J101-800</f>
        <v>200</v>
      </c>
      <c r="L101" s="16">
        <v>246.43933000000001</v>
      </c>
      <c r="M101" s="55">
        <f>L101/C101</f>
        <v>0.24643933000000001</v>
      </c>
      <c r="N101" s="43">
        <f t="shared" si="29"/>
        <v>1.2321966500000001</v>
      </c>
      <c r="O101" s="56"/>
    </row>
    <row r="102" spans="1:15" s="4" customFormat="1" ht="47.25" x14ac:dyDescent="0.25">
      <c r="A102" s="77" t="s">
        <v>161</v>
      </c>
      <c r="B102" s="78" t="s">
        <v>160</v>
      </c>
      <c r="C102" s="26">
        <f t="shared" ref="C102:K102" si="41">C103</f>
        <v>974205.30309000006</v>
      </c>
      <c r="D102" s="26">
        <f t="shared" si="41"/>
        <v>983205.30309000006</v>
      </c>
      <c r="E102" s="26">
        <f t="shared" si="41"/>
        <v>986460.0078100001</v>
      </c>
      <c r="F102" s="26">
        <f t="shared" si="41"/>
        <v>985363.98527000006</v>
      </c>
      <c r="G102" s="26">
        <f t="shared" si="41"/>
        <v>1219090.52985</v>
      </c>
      <c r="H102" s="26">
        <f t="shared" si="41"/>
        <v>1279490.90118</v>
      </c>
      <c r="I102" s="26">
        <f t="shared" si="41"/>
        <v>1477067.5173299999</v>
      </c>
      <c r="J102" s="26">
        <f>J103</f>
        <v>1450029.8312900001</v>
      </c>
      <c r="K102" s="26">
        <f t="shared" si="41"/>
        <v>1462328.34827</v>
      </c>
      <c r="L102" s="26">
        <f>L103+L165</f>
        <v>1417755.2012899998</v>
      </c>
      <c r="M102" s="59">
        <f>L102/C102</f>
        <v>1.4552940707601785</v>
      </c>
      <c r="N102" s="43">
        <f t="shared" si="29"/>
        <v>0.96951905703480878</v>
      </c>
      <c r="O102" s="72" t="s">
        <v>339</v>
      </c>
    </row>
    <row r="103" spans="1:15" ht="36.75" customHeight="1" thickBot="1" x14ac:dyDescent="0.3">
      <c r="A103" s="75" t="s">
        <v>163</v>
      </c>
      <c r="B103" s="65" t="s">
        <v>162</v>
      </c>
      <c r="C103" s="19">
        <f>C104+C109+C132+C155+C161+C153+C159</f>
        <v>974205.30309000006</v>
      </c>
      <c r="D103" s="19">
        <f>D104+D109+D132+D155+D161+D153+D159</f>
        <v>983205.30309000006</v>
      </c>
      <c r="E103" s="19">
        <f>E104+E109+E132+E155+E161+E153+E159</f>
        <v>986460.0078100001</v>
      </c>
      <c r="F103" s="19">
        <f>F104+F109+F132+F155+F161+F153+F159</f>
        <v>985363.98527000006</v>
      </c>
      <c r="G103" s="19">
        <f>G104+G109+G132+G155+G161+G153+G159+G163</f>
        <v>1219090.52985</v>
      </c>
      <c r="H103" s="19">
        <f t="shared" ref="H103:L103" si="42">H104+H109+H132+H155+H161+H153+H159+H163</f>
        <v>1279490.90118</v>
      </c>
      <c r="I103" s="19">
        <f t="shared" si="42"/>
        <v>1477067.5173299999</v>
      </c>
      <c r="J103" s="19">
        <f t="shared" si="42"/>
        <v>1450029.8312900001</v>
      </c>
      <c r="K103" s="19">
        <f t="shared" si="42"/>
        <v>1462328.34827</v>
      </c>
      <c r="L103" s="19">
        <f t="shared" si="42"/>
        <v>1430810.4126199998</v>
      </c>
      <c r="M103" s="47">
        <f>L103/C103</f>
        <v>1.4686949538066898</v>
      </c>
      <c r="N103" s="43">
        <f t="shared" si="29"/>
        <v>0.97844674509162921</v>
      </c>
      <c r="O103" s="76"/>
    </row>
    <row r="104" spans="1:15" ht="23.25" x14ac:dyDescent="0.25">
      <c r="A104" s="49" t="s">
        <v>165</v>
      </c>
      <c r="B104" s="50" t="s">
        <v>164</v>
      </c>
      <c r="C104" s="15">
        <f>C105</f>
        <v>0</v>
      </c>
      <c r="D104" s="15">
        <f>D105</f>
        <v>0</v>
      </c>
      <c r="E104" s="15">
        <f t="shared" ref="E104:L104" si="43">E105+E107</f>
        <v>0</v>
      </c>
      <c r="F104" s="15">
        <f t="shared" si="43"/>
        <v>26330.535250000001</v>
      </c>
      <c r="G104" s="15">
        <f t="shared" si="43"/>
        <v>26330.535250000001</v>
      </c>
      <c r="H104" s="15">
        <f>H105+H107</f>
        <v>26330.535250000001</v>
      </c>
      <c r="I104" s="15">
        <f>I105+I107</f>
        <v>108972.45307</v>
      </c>
      <c r="J104" s="15">
        <f t="shared" si="43"/>
        <v>108972.45307</v>
      </c>
      <c r="K104" s="15">
        <f t="shared" si="43"/>
        <v>111666.45307</v>
      </c>
      <c r="L104" s="15">
        <f t="shared" si="43"/>
        <v>111666.45307</v>
      </c>
      <c r="M104" s="51" t="e">
        <f>L104/C104</f>
        <v>#DIV/0!</v>
      </c>
      <c r="N104" s="43">
        <f t="shared" si="29"/>
        <v>1</v>
      </c>
      <c r="O104" s="52"/>
    </row>
    <row r="105" spans="1:15" ht="34.5" x14ac:dyDescent="0.25">
      <c r="A105" s="61" t="s">
        <v>167</v>
      </c>
      <c r="B105" s="62" t="s">
        <v>166</v>
      </c>
      <c r="C105" s="21">
        <f>C106</f>
        <v>0</v>
      </c>
      <c r="D105" s="21">
        <f>D106</f>
        <v>0</v>
      </c>
      <c r="E105" s="21">
        <f t="shared" ref="E105:L105" si="44">E106</f>
        <v>0</v>
      </c>
      <c r="F105" s="21">
        <f t="shared" si="44"/>
        <v>26330.535250000001</v>
      </c>
      <c r="G105" s="21">
        <f t="shared" si="44"/>
        <v>26330.535250000001</v>
      </c>
      <c r="H105" s="21">
        <f>H106</f>
        <v>26330.535250000001</v>
      </c>
      <c r="I105" s="21">
        <f>I106</f>
        <v>108972.45307</v>
      </c>
      <c r="J105" s="21">
        <f t="shared" si="44"/>
        <v>108972.45307</v>
      </c>
      <c r="K105" s="21">
        <f t="shared" si="44"/>
        <v>108972.45307</v>
      </c>
      <c r="L105" s="21">
        <f t="shared" si="44"/>
        <v>108972.45307</v>
      </c>
      <c r="M105" s="43" t="e">
        <f>L105/C105</f>
        <v>#DIV/0!</v>
      </c>
      <c r="N105" s="43">
        <f t="shared" si="29"/>
        <v>1</v>
      </c>
      <c r="O105" s="63"/>
    </row>
    <row r="106" spans="1:15" ht="45.75" x14ac:dyDescent="0.25">
      <c r="A106" s="61" t="s">
        <v>169</v>
      </c>
      <c r="B106" s="62" t="s">
        <v>168</v>
      </c>
      <c r="C106" s="21">
        <v>0</v>
      </c>
      <c r="D106" s="21">
        <v>0</v>
      </c>
      <c r="E106" s="21">
        <v>0</v>
      </c>
      <c r="F106" s="21">
        <v>26330.535250000001</v>
      </c>
      <c r="G106" s="21">
        <f>F106</f>
        <v>26330.535250000001</v>
      </c>
      <c r="H106" s="21">
        <f>G106</f>
        <v>26330.535250000001</v>
      </c>
      <c r="I106" s="21">
        <f>H106+82641.91782</f>
        <v>108972.45307</v>
      </c>
      <c r="J106" s="21">
        <f>I106</f>
        <v>108972.45307</v>
      </c>
      <c r="K106" s="21">
        <f>J106</f>
        <v>108972.45307</v>
      </c>
      <c r="L106" s="21">
        <v>108972.45307</v>
      </c>
      <c r="M106" s="43" t="e">
        <f>L106/C106</f>
        <v>#DIV/0!</v>
      </c>
      <c r="N106" s="43">
        <f t="shared" si="29"/>
        <v>1</v>
      </c>
      <c r="O106" s="63"/>
    </row>
    <row r="107" spans="1:15" ht="15.75" x14ac:dyDescent="0.25">
      <c r="A107" s="61" t="s">
        <v>235</v>
      </c>
      <c r="B107" s="62" t="s">
        <v>236</v>
      </c>
      <c r="C107" s="21">
        <v>0</v>
      </c>
      <c r="D107" s="21">
        <v>0</v>
      </c>
      <c r="E107" s="21">
        <f t="shared" ref="E107:L107" si="45">E108</f>
        <v>0</v>
      </c>
      <c r="F107" s="21">
        <f t="shared" si="45"/>
        <v>0</v>
      </c>
      <c r="G107" s="21">
        <f t="shared" si="45"/>
        <v>0</v>
      </c>
      <c r="H107" s="21">
        <f>H108</f>
        <v>0</v>
      </c>
      <c r="I107" s="21">
        <f>I108</f>
        <v>0</v>
      </c>
      <c r="J107" s="21">
        <f t="shared" si="45"/>
        <v>0</v>
      </c>
      <c r="K107" s="21">
        <f t="shared" si="45"/>
        <v>2694</v>
      </c>
      <c r="L107" s="21">
        <f t="shared" si="45"/>
        <v>2694</v>
      </c>
      <c r="M107" s="43" t="e">
        <f>L107/C107</f>
        <v>#DIV/0!</v>
      </c>
      <c r="N107" s="43">
        <f t="shared" si="29"/>
        <v>1</v>
      </c>
      <c r="O107" s="63"/>
    </row>
    <row r="108" spans="1:15" ht="24" thickBot="1" x14ac:dyDescent="0.3">
      <c r="A108" s="53" t="s">
        <v>237</v>
      </c>
      <c r="B108" s="54" t="s">
        <v>238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f>I108</f>
        <v>0</v>
      </c>
      <c r="K108" s="24">
        <f>J108+2694</f>
        <v>2694</v>
      </c>
      <c r="L108" s="24">
        <v>2694</v>
      </c>
      <c r="M108" s="55" t="e">
        <f>L108/C108</f>
        <v>#DIV/0!</v>
      </c>
      <c r="N108" s="43">
        <f t="shared" si="29"/>
        <v>1</v>
      </c>
      <c r="O108" s="56"/>
    </row>
    <row r="109" spans="1:15" ht="63.75" thickBot="1" x14ac:dyDescent="0.3">
      <c r="A109" s="79" t="s">
        <v>171</v>
      </c>
      <c r="B109" s="80" t="s">
        <v>170</v>
      </c>
      <c r="C109" s="27">
        <f>C114+C118+C122+C128+C130+C112+C120+C116</f>
        <v>240047.38576</v>
      </c>
      <c r="D109" s="27">
        <f>D114+D118+D122+D128+D130+D112+D120+D116</f>
        <v>249047.38576</v>
      </c>
      <c r="E109" s="27">
        <f t="shared" ref="E109:H109" si="46">E114+E118+E122+E128+E130+E112+E120+E116</f>
        <v>250468.26067000002</v>
      </c>
      <c r="F109" s="27">
        <f t="shared" si="46"/>
        <v>223041.70288000003</v>
      </c>
      <c r="G109" s="27">
        <f t="shared" si="46"/>
        <v>383914.47153000004</v>
      </c>
      <c r="H109" s="27">
        <f t="shared" si="46"/>
        <v>333914.47153000004</v>
      </c>
      <c r="I109" s="27">
        <f>I114+I118+I122+I128+I130+I112+I120+I116+I110</f>
        <v>441955.52586000005</v>
      </c>
      <c r="J109" s="27">
        <f t="shared" ref="J109:L109" si="47">J114+J118+J122+J128+J130+J112+J120+J116+J110</f>
        <v>415315.92586000008</v>
      </c>
      <c r="K109" s="27">
        <f t="shared" si="47"/>
        <v>425929.63820000004</v>
      </c>
      <c r="L109" s="27">
        <f t="shared" si="47"/>
        <v>404889.51708999998</v>
      </c>
      <c r="M109" s="51">
        <f>L109/C109</f>
        <v>1.6867066300601563</v>
      </c>
      <c r="N109" s="43">
        <f t="shared" si="29"/>
        <v>0.95060188532801648</v>
      </c>
      <c r="O109" s="52" t="s">
        <v>276</v>
      </c>
    </row>
    <row r="110" spans="1:15" ht="114" thickBot="1" x14ac:dyDescent="0.3">
      <c r="A110" s="61" t="s">
        <v>323</v>
      </c>
      <c r="B110" s="81" t="s">
        <v>325</v>
      </c>
      <c r="C110" s="26"/>
      <c r="D110" s="26"/>
      <c r="E110" s="26"/>
      <c r="F110" s="26"/>
      <c r="G110" s="26"/>
      <c r="H110" s="26"/>
      <c r="I110" s="17">
        <f>I111</f>
        <v>25320.76</v>
      </c>
      <c r="J110" s="17">
        <f t="shared" ref="J110:L110" si="48">J111</f>
        <v>25320.76</v>
      </c>
      <c r="K110" s="17">
        <f t="shared" si="48"/>
        <v>25320.76</v>
      </c>
      <c r="L110" s="17">
        <f t="shared" si="48"/>
        <v>25320.76</v>
      </c>
      <c r="M110" s="51" t="e">
        <f t="shared" ref="M110:M169" si="49">L110/C110</f>
        <v>#DIV/0!</v>
      </c>
      <c r="N110" s="43">
        <f t="shared" si="29"/>
        <v>1</v>
      </c>
      <c r="O110" s="60"/>
    </row>
    <row r="111" spans="1:15" ht="125.25" customHeight="1" thickBot="1" x14ac:dyDescent="0.3">
      <c r="A111" s="61" t="s">
        <v>324</v>
      </c>
      <c r="B111" s="81" t="s">
        <v>325</v>
      </c>
      <c r="C111" s="26"/>
      <c r="D111" s="26"/>
      <c r="E111" s="26"/>
      <c r="F111" s="26"/>
      <c r="G111" s="26"/>
      <c r="H111" s="26"/>
      <c r="I111" s="17">
        <v>25320.76</v>
      </c>
      <c r="J111" s="17">
        <f>I111</f>
        <v>25320.76</v>
      </c>
      <c r="K111" s="17">
        <f>I111</f>
        <v>25320.76</v>
      </c>
      <c r="L111" s="17">
        <v>25320.76</v>
      </c>
      <c r="M111" s="51" t="e">
        <f t="shared" si="49"/>
        <v>#DIV/0!</v>
      </c>
      <c r="N111" s="43">
        <f t="shared" si="29"/>
        <v>1</v>
      </c>
      <c r="O111" s="60"/>
    </row>
    <row r="112" spans="1:15" ht="147.75" hidden="1" thickBot="1" x14ac:dyDescent="0.3">
      <c r="A112" s="61" t="s">
        <v>239</v>
      </c>
      <c r="B112" s="62" t="s">
        <v>240</v>
      </c>
      <c r="C112" s="18">
        <f t="shared" ref="C112:J112" si="50">C113</f>
        <v>0</v>
      </c>
      <c r="D112" s="18">
        <f t="shared" si="50"/>
        <v>0</v>
      </c>
      <c r="E112" s="18">
        <f t="shared" si="50"/>
        <v>0</v>
      </c>
      <c r="F112" s="18">
        <f t="shared" si="50"/>
        <v>0</v>
      </c>
      <c r="G112" s="18">
        <f t="shared" si="50"/>
        <v>0</v>
      </c>
      <c r="H112" s="18">
        <f t="shared" si="50"/>
        <v>0</v>
      </c>
      <c r="I112" s="18">
        <f t="shared" si="50"/>
        <v>0</v>
      </c>
      <c r="J112" s="18">
        <f t="shared" si="50"/>
        <v>0</v>
      </c>
      <c r="K112" s="18">
        <f>K113</f>
        <v>0</v>
      </c>
      <c r="L112" s="18">
        <f>L113</f>
        <v>0</v>
      </c>
      <c r="M112" s="51" t="e">
        <f t="shared" si="49"/>
        <v>#DIV/0!</v>
      </c>
      <c r="N112" s="43" t="e">
        <f t="shared" si="29"/>
        <v>#DIV/0!</v>
      </c>
      <c r="O112" s="63"/>
    </row>
    <row r="113" spans="1:15" ht="147.75" hidden="1" thickBot="1" x14ac:dyDescent="0.3">
      <c r="A113" s="61" t="s">
        <v>241</v>
      </c>
      <c r="B113" s="62" t="s">
        <v>242</v>
      </c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51" t="e">
        <f t="shared" si="49"/>
        <v>#DIV/0!</v>
      </c>
      <c r="N113" s="43" t="e">
        <f t="shared" si="29"/>
        <v>#DIV/0!</v>
      </c>
      <c r="O113" s="63"/>
    </row>
    <row r="114" spans="1:15" ht="57.75" thickBot="1" x14ac:dyDescent="0.3">
      <c r="A114" s="61" t="s">
        <v>335</v>
      </c>
      <c r="B114" s="62" t="s">
        <v>338</v>
      </c>
      <c r="C114" s="18">
        <f t="shared" ref="C114:J114" si="51">C115</f>
        <v>0</v>
      </c>
      <c r="D114" s="18">
        <f t="shared" si="51"/>
        <v>0</v>
      </c>
      <c r="E114" s="18">
        <f t="shared" si="51"/>
        <v>0</v>
      </c>
      <c r="F114" s="18">
        <f t="shared" si="51"/>
        <v>0</v>
      </c>
      <c r="G114" s="18">
        <f t="shared" si="51"/>
        <v>26639.599999999999</v>
      </c>
      <c r="H114" s="18">
        <f t="shared" si="51"/>
        <v>26639.599999999999</v>
      </c>
      <c r="I114" s="18">
        <f t="shared" si="51"/>
        <v>26639.599999999999</v>
      </c>
      <c r="J114" s="18">
        <f t="shared" si="51"/>
        <v>0</v>
      </c>
      <c r="K114" s="18">
        <f>K115</f>
        <v>26639.599999999999</v>
      </c>
      <c r="L114" s="18">
        <f>L115</f>
        <v>26639.599999999999</v>
      </c>
      <c r="M114" s="51" t="e">
        <f t="shared" si="49"/>
        <v>#DIV/0!</v>
      </c>
      <c r="N114" s="43">
        <f t="shared" si="29"/>
        <v>1</v>
      </c>
      <c r="O114" s="63"/>
    </row>
    <row r="115" spans="1:15" ht="90" customHeight="1" thickBot="1" x14ac:dyDescent="0.3">
      <c r="A115" s="61" t="s">
        <v>334</v>
      </c>
      <c r="B115" s="62" t="s">
        <v>337</v>
      </c>
      <c r="C115" s="18">
        <v>0</v>
      </c>
      <c r="D115" s="18"/>
      <c r="E115" s="18"/>
      <c r="F115" s="18"/>
      <c r="G115" s="18">
        <v>26639.599999999999</v>
      </c>
      <c r="H115" s="18">
        <f>G115</f>
        <v>26639.599999999999</v>
      </c>
      <c r="I115" s="18">
        <f>G115</f>
        <v>26639.599999999999</v>
      </c>
      <c r="J115" s="18"/>
      <c r="K115" s="18">
        <f>G115</f>
        <v>26639.599999999999</v>
      </c>
      <c r="L115" s="18">
        <v>26639.599999999999</v>
      </c>
      <c r="M115" s="51" t="e">
        <f t="shared" si="49"/>
        <v>#DIV/0!</v>
      </c>
      <c r="N115" s="43">
        <f t="shared" si="29"/>
        <v>1</v>
      </c>
      <c r="O115" s="63"/>
    </row>
    <row r="116" spans="1:15" ht="95.25" customHeight="1" thickBot="1" x14ac:dyDescent="0.3">
      <c r="A116" s="61" t="s">
        <v>307</v>
      </c>
      <c r="B116" s="62" t="s">
        <v>336</v>
      </c>
      <c r="C116" s="18">
        <f>C117</f>
        <v>841.72514000000001</v>
      </c>
      <c r="D116" s="18">
        <f>D117</f>
        <v>841.72514000000001</v>
      </c>
      <c r="E116" s="18">
        <f t="shared" ref="E116:L116" si="52">E117</f>
        <v>841.72514000000001</v>
      </c>
      <c r="F116" s="18">
        <f t="shared" si="52"/>
        <v>841.72514000000001</v>
      </c>
      <c r="G116" s="18">
        <f t="shared" si="52"/>
        <v>841.72514000000001</v>
      </c>
      <c r="H116" s="18">
        <f t="shared" si="52"/>
        <v>841.72514000000001</v>
      </c>
      <c r="I116" s="18">
        <f t="shared" si="52"/>
        <v>841.72514000000001</v>
      </c>
      <c r="J116" s="18">
        <f t="shared" si="52"/>
        <v>841.72514000000001</v>
      </c>
      <c r="K116" s="18">
        <f t="shared" si="52"/>
        <v>841.72514000000001</v>
      </c>
      <c r="L116" s="18">
        <f t="shared" si="52"/>
        <v>841.72514000000001</v>
      </c>
      <c r="M116" s="51">
        <f t="shared" si="49"/>
        <v>1</v>
      </c>
      <c r="N116" s="43">
        <f t="shared" si="29"/>
        <v>1</v>
      </c>
      <c r="O116" s="63"/>
    </row>
    <row r="117" spans="1:15" ht="110.25" customHeight="1" thickBot="1" x14ac:dyDescent="0.3">
      <c r="A117" s="61" t="s">
        <v>308</v>
      </c>
      <c r="B117" s="62" t="s">
        <v>309</v>
      </c>
      <c r="C117" s="18">
        <v>841.72514000000001</v>
      </c>
      <c r="D117" s="18">
        <f>C117</f>
        <v>841.72514000000001</v>
      </c>
      <c r="E117" s="18">
        <f t="shared" ref="E117:J117" si="53">D117</f>
        <v>841.72514000000001</v>
      </c>
      <c r="F117" s="18">
        <f t="shared" si="53"/>
        <v>841.72514000000001</v>
      </c>
      <c r="G117" s="18">
        <f t="shared" si="53"/>
        <v>841.72514000000001</v>
      </c>
      <c r="H117" s="18">
        <f t="shared" si="53"/>
        <v>841.72514000000001</v>
      </c>
      <c r="I117" s="18">
        <f t="shared" si="53"/>
        <v>841.72514000000001</v>
      </c>
      <c r="J117" s="18">
        <f t="shared" si="53"/>
        <v>841.72514000000001</v>
      </c>
      <c r="K117" s="18">
        <f>J117</f>
        <v>841.72514000000001</v>
      </c>
      <c r="L117" s="18">
        <v>841.72514000000001</v>
      </c>
      <c r="M117" s="51">
        <f t="shared" si="49"/>
        <v>1</v>
      </c>
      <c r="N117" s="43">
        <f t="shared" si="29"/>
        <v>1</v>
      </c>
      <c r="O117" s="63"/>
    </row>
    <row r="118" spans="1:15" ht="34.5" hidden="1" thickBot="1" x14ac:dyDescent="0.3">
      <c r="A118" s="82" t="s">
        <v>219</v>
      </c>
      <c r="B118" s="83" t="s">
        <v>221</v>
      </c>
      <c r="C118" s="28">
        <f t="shared" ref="C118:L118" si="54">C119</f>
        <v>0</v>
      </c>
      <c r="D118" s="28">
        <f t="shared" si="54"/>
        <v>0</v>
      </c>
      <c r="E118" s="28">
        <f t="shared" si="54"/>
        <v>0</v>
      </c>
      <c r="F118" s="28">
        <f t="shared" si="54"/>
        <v>0</v>
      </c>
      <c r="G118" s="28">
        <f t="shared" si="54"/>
        <v>0</v>
      </c>
      <c r="H118" s="28">
        <f t="shared" si="54"/>
        <v>0</v>
      </c>
      <c r="I118" s="28"/>
      <c r="J118" s="28">
        <f t="shared" si="54"/>
        <v>0</v>
      </c>
      <c r="K118" s="28">
        <f t="shared" si="54"/>
        <v>0</v>
      </c>
      <c r="L118" s="28">
        <f t="shared" si="54"/>
        <v>0</v>
      </c>
      <c r="M118" s="51" t="e">
        <f t="shared" si="49"/>
        <v>#DIV/0!</v>
      </c>
      <c r="N118" s="43" t="e">
        <f t="shared" si="29"/>
        <v>#DIV/0!</v>
      </c>
      <c r="O118" s="63"/>
    </row>
    <row r="119" spans="1:15" ht="45.75" hidden="1" thickBot="1" x14ac:dyDescent="0.3">
      <c r="A119" s="82" t="s">
        <v>218</v>
      </c>
      <c r="B119" s="83" t="s">
        <v>220</v>
      </c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51" t="e">
        <f t="shared" si="49"/>
        <v>#DIV/0!</v>
      </c>
      <c r="N119" s="43" t="e">
        <f t="shared" si="29"/>
        <v>#DIV/0!</v>
      </c>
      <c r="O119" s="63"/>
    </row>
    <row r="120" spans="1:15" ht="47.25" hidden="1" customHeight="1" thickBot="1" x14ac:dyDescent="0.3">
      <c r="A120" s="82" t="s">
        <v>254</v>
      </c>
      <c r="B120" s="83" t="s">
        <v>253</v>
      </c>
      <c r="C120" s="28">
        <f t="shared" ref="C120:J120" si="55">C121</f>
        <v>0</v>
      </c>
      <c r="D120" s="28">
        <f t="shared" si="55"/>
        <v>0</v>
      </c>
      <c r="E120" s="28">
        <f t="shared" si="55"/>
        <v>0</v>
      </c>
      <c r="F120" s="28">
        <f t="shared" si="55"/>
        <v>0</v>
      </c>
      <c r="G120" s="28">
        <f t="shared" si="55"/>
        <v>0</v>
      </c>
      <c r="H120" s="28">
        <f t="shared" si="55"/>
        <v>0</v>
      </c>
      <c r="I120" s="28">
        <v>0</v>
      </c>
      <c r="J120" s="28">
        <f t="shared" si="55"/>
        <v>0</v>
      </c>
      <c r="K120" s="28">
        <v>0</v>
      </c>
      <c r="L120" s="28">
        <f>L121</f>
        <v>0</v>
      </c>
      <c r="M120" s="51" t="e">
        <f t="shared" si="49"/>
        <v>#DIV/0!</v>
      </c>
      <c r="N120" s="43" t="e">
        <f t="shared" si="29"/>
        <v>#DIV/0!</v>
      </c>
      <c r="O120" s="63"/>
    </row>
    <row r="121" spans="1:15" ht="39.75" hidden="1" customHeight="1" thickBot="1" x14ac:dyDescent="0.3">
      <c r="A121" s="82" t="s">
        <v>252</v>
      </c>
      <c r="B121" s="83" t="s">
        <v>255</v>
      </c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51" t="e">
        <f t="shared" si="49"/>
        <v>#DIV/0!</v>
      </c>
      <c r="N121" s="43" t="e">
        <f t="shared" si="29"/>
        <v>#DIV/0!</v>
      </c>
      <c r="O121" s="63"/>
    </row>
    <row r="122" spans="1:15" ht="35.25" thickBot="1" x14ac:dyDescent="0.3">
      <c r="A122" s="61" t="s">
        <v>173</v>
      </c>
      <c r="B122" s="62" t="s">
        <v>172</v>
      </c>
      <c r="C122" s="18">
        <f t="shared" ref="C122:L122" si="56">C123</f>
        <v>1820.4848300000001</v>
      </c>
      <c r="D122" s="18">
        <f t="shared" si="56"/>
        <v>1820.4848300000001</v>
      </c>
      <c r="E122" s="18">
        <f t="shared" si="56"/>
        <v>2011.75</v>
      </c>
      <c r="F122" s="18">
        <f t="shared" si="56"/>
        <v>2011.75</v>
      </c>
      <c r="G122" s="18">
        <f t="shared" si="56"/>
        <v>2011.75</v>
      </c>
      <c r="H122" s="18">
        <f t="shared" si="56"/>
        <v>2011.75</v>
      </c>
      <c r="I122" s="18">
        <f t="shared" si="56"/>
        <v>2011.75</v>
      </c>
      <c r="J122" s="18">
        <f t="shared" si="56"/>
        <v>2011.75</v>
      </c>
      <c r="K122" s="18">
        <f t="shared" si="56"/>
        <v>2011.75</v>
      </c>
      <c r="L122" s="18">
        <f t="shared" si="56"/>
        <v>2011.75</v>
      </c>
      <c r="M122" s="51">
        <f t="shared" si="49"/>
        <v>1.1050627650657214</v>
      </c>
      <c r="N122" s="43">
        <f t="shared" si="29"/>
        <v>1</v>
      </c>
      <c r="O122" s="63"/>
    </row>
    <row r="123" spans="1:15" ht="46.5" thickBot="1" x14ac:dyDescent="0.3">
      <c r="A123" s="61" t="s">
        <v>175</v>
      </c>
      <c r="B123" s="62" t="s">
        <v>174</v>
      </c>
      <c r="C123" s="18">
        <v>1820.4848300000001</v>
      </c>
      <c r="D123" s="18">
        <f>C123</f>
        <v>1820.4848300000001</v>
      </c>
      <c r="E123" s="18">
        <f>D123+191.26517</f>
        <v>2011.75</v>
      </c>
      <c r="F123" s="18">
        <f t="shared" ref="F123:J123" si="57">E123</f>
        <v>2011.75</v>
      </c>
      <c r="G123" s="18">
        <f t="shared" si="57"/>
        <v>2011.75</v>
      </c>
      <c r="H123" s="18">
        <f t="shared" si="57"/>
        <v>2011.75</v>
      </c>
      <c r="I123" s="18">
        <f t="shared" si="57"/>
        <v>2011.75</v>
      </c>
      <c r="J123" s="18">
        <f t="shared" si="57"/>
        <v>2011.75</v>
      </c>
      <c r="K123" s="18">
        <f>J123</f>
        <v>2011.75</v>
      </c>
      <c r="L123" s="18">
        <v>2011.75</v>
      </c>
      <c r="M123" s="51">
        <f t="shared" si="49"/>
        <v>1.1050627650657214</v>
      </c>
      <c r="N123" s="43">
        <f t="shared" si="29"/>
        <v>1</v>
      </c>
      <c r="O123" s="63"/>
    </row>
    <row r="124" spans="1:15" ht="35.25" hidden="1" thickBot="1" x14ac:dyDescent="0.3">
      <c r="A124" s="61" t="s">
        <v>281</v>
      </c>
      <c r="B124" s="62" t="s">
        <v>283</v>
      </c>
      <c r="C124" s="18"/>
      <c r="D124" s="18"/>
      <c r="E124" s="18"/>
      <c r="F124" s="18"/>
      <c r="G124" s="18"/>
      <c r="H124" s="18">
        <f>H125</f>
        <v>0</v>
      </c>
      <c r="I124" s="18">
        <f>I125</f>
        <v>0</v>
      </c>
      <c r="J124" s="18">
        <v>0</v>
      </c>
      <c r="K124" s="18">
        <v>0</v>
      </c>
      <c r="L124" s="18">
        <f>L125</f>
        <v>0</v>
      </c>
      <c r="M124" s="51" t="e">
        <f t="shared" si="49"/>
        <v>#DIV/0!</v>
      </c>
      <c r="N124" s="43" t="e">
        <f t="shared" si="29"/>
        <v>#DIV/0!</v>
      </c>
      <c r="O124" s="63"/>
    </row>
    <row r="125" spans="1:15" ht="63.75" hidden="1" customHeight="1" thickBot="1" x14ac:dyDescent="0.3">
      <c r="A125" s="61" t="s">
        <v>282</v>
      </c>
      <c r="B125" s="62" t="s">
        <v>284</v>
      </c>
      <c r="C125" s="18"/>
      <c r="D125" s="18"/>
      <c r="E125" s="18"/>
      <c r="F125" s="18"/>
      <c r="G125" s="18"/>
      <c r="H125" s="18"/>
      <c r="I125" s="18"/>
      <c r="J125" s="18">
        <v>0</v>
      </c>
      <c r="K125" s="18">
        <v>0</v>
      </c>
      <c r="L125" s="18"/>
      <c r="M125" s="51" t="e">
        <f t="shared" si="49"/>
        <v>#DIV/0!</v>
      </c>
      <c r="N125" s="43" t="e">
        <f t="shared" si="29"/>
        <v>#DIV/0!</v>
      </c>
      <c r="O125" s="63"/>
    </row>
    <row r="126" spans="1:15" ht="24" hidden="1" thickBot="1" x14ac:dyDescent="0.3">
      <c r="A126" s="61" t="s">
        <v>177</v>
      </c>
      <c r="B126" s="62" t="s">
        <v>176</v>
      </c>
      <c r="C126" s="18">
        <v>0</v>
      </c>
      <c r="D126" s="18">
        <v>0</v>
      </c>
      <c r="E126" s="18">
        <v>0</v>
      </c>
      <c r="F126" s="18">
        <v>0</v>
      </c>
      <c r="G126" s="18">
        <f>G127</f>
        <v>0</v>
      </c>
      <c r="H126" s="18">
        <f>G126</f>
        <v>0</v>
      </c>
      <c r="I126" s="18">
        <f>H126</f>
        <v>0</v>
      </c>
      <c r="J126" s="18">
        <f>J127</f>
        <v>0</v>
      </c>
      <c r="K126" s="18">
        <f>K127</f>
        <v>0</v>
      </c>
      <c r="L126" s="18">
        <f>L127</f>
        <v>0</v>
      </c>
      <c r="M126" s="51" t="e">
        <f t="shared" si="49"/>
        <v>#DIV/0!</v>
      </c>
      <c r="N126" s="43" t="e">
        <f t="shared" si="29"/>
        <v>#DIV/0!</v>
      </c>
      <c r="O126" s="63"/>
    </row>
    <row r="127" spans="1:15" ht="35.25" hidden="1" thickBot="1" x14ac:dyDescent="0.3">
      <c r="A127" s="61" t="s">
        <v>179</v>
      </c>
      <c r="B127" s="62" t="s">
        <v>178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f>G127</f>
        <v>0</v>
      </c>
      <c r="I127" s="18">
        <v>0</v>
      </c>
      <c r="J127" s="18">
        <v>0</v>
      </c>
      <c r="K127" s="18">
        <v>0</v>
      </c>
      <c r="L127" s="18"/>
      <c r="M127" s="51" t="e">
        <f t="shared" si="49"/>
        <v>#DIV/0!</v>
      </c>
      <c r="N127" s="43" t="e">
        <f t="shared" si="29"/>
        <v>#DIV/0!</v>
      </c>
      <c r="O127" s="63"/>
    </row>
    <row r="128" spans="1:15" ht="35.25" hidden="1" thickBot="1" x14ac:dyDescent="0.3">
      <c r="A128" s="61" t="s">
        <v>181</v>
      </c>
      <c r="B128" s="62" t="s">
        <v>180</v>
      </c>
      <c r="C128" s="21">
        <f t="shared" ref="C128:L128" si="58">C129</f>
        <v>32580.093830000002</v>
      </c>
      <c r="D128" s="21">
        <f t="shared" si="58"/>
        <v>32580.093830000002</v>
      </c>
      <c r="E128" s="21">
        <f t="shared" si="58"/>
        <v>32580.093830000002</v>
      </c>
      <c r="F128" s="21">
        <f t="shared" si="58"/>
        <v>32580.093830000002</v>
      </c>
      <c r="G128" s="21">
        <f t="shared" si="58"/>
        <v>32580.093830000002</v>
      </c>
      <c r="H128" s="21">
        <f t="shared" si="58"/>
        <v>32580.093830000002</v>
      </c>
      <c r="I128" s="21">
        <f t="shared" si="58"/>
        <v>32580.093830000002</v>
      </c>
      <c r="J128" s="21">
        <f t="shared" si="58"/>
        <v>32580.093830000002</v>
      </c>
      <c r="K128" s="21">
        <f t="shared" si="58"/>
        <v>32580.093830000002</v>
      </c>
      <c r="L128" s="21">
        <f t="shared" si="58"/>
        <v>32580.093830000002</v>
      </c>
      <c r="M128" s="51">
        <f t="shared" si="49"/>
        <v>1</v>
      </c>
      <c r="N128" s="43">
        <f t="shared" si="29"/>
        <v>1</v>
      </c>
      <c r="O128" s="63"/>
    </row>
    <row r="129" spans="1:15" ht="46.5" hidden="1" thickBot="1" x14ac:dyDescent="0.3">
      <c r="A129" s="61" t="s">
        <v>183</v>
      </c>
      <c r="B129" s="62" t="s">
        <v>182</v>
      </c>
      <c r="C129" s="21">
        <v>32580.093830000002</v>
      </c>
      <c r="D129" s="21">
        <f t="shared" ref="D129:J129" si="59">C129</f>
        <v>32580.093830000002</v>
      </c>
      <c r="E129" s="21">
        <f t="shared" si="59"/>
        <v>32580.093830000002</v>
      </c>
      <c r="F129" s="21">
        <f t="shared" si="59"/>
        <v>32580.093830000002</v>
      </c>
      <c r="G129" s="21">
        <f t="shared" si="59"/>
        <v>32580.093830000002</v>
      </c>
      <c r="H129" s="21">
        <f t="shared" si="59"/>
        <v>32580.093830000002</v>
      </c>
      <c r="I129" s="21">
        <f t="shared" si="59"/>
        <v>32580.093830000002</v>
      </c>
      <c r="J129" s="21">
        <f t="shared" si="59"/>
        <v>32580.093830000002</v>
      </c>
      <c r="K129" s="21">
        <f>J129</f>
        <v>32580.093830000002</v>
      </c>
      <c r="L129" s="21">
        <v>32580.093830000002</v>
      </c>
      <c r="M129" s="51">
        <f t="shared" si="49"/>
        <v>1</v>
      </c>
      <c r="N129" s="43">
        <f t="shared" si="29"/>
        <v>1</v>
      </c>
      <c r="O129" s="63"/>
    </row>
    <row r="130" spans="1:15" ht="63.75" thickBot="1" x14ac:dyDescent="0.3">
      <c r="A130" s="61" t="s">
        <v>185</v>
      </c>
      <c r="B130" s="62" t="s">
        <v>184</v>
      </c>
      <c r="C130" s="18">
        <f t="shared" ref="C130:L130" si="60">C131</f>
        <v>204805.08196000001</v>
      </c>
      <c r="D130" s="18">
        <f t="shared" si="60"/>
        <v>213805.08196000001</v>
      </c>
      <c r="E130" s="18">
        <f t="shared" si="60"/>
        <v>215034.69170000002</v>
      </c>
      <c r="F130" s="18">
        <f t="shared" si="60"/>
        <v>187608.13391000003</v>
      </c>
      <c r="G130" s="18">
        <f t="shared" si="60"/>
        <v>321841.30256000004</v>
      </c>
      <c r="H130" s="18">
        <f t="shared" si="60"/>
        <v>271841.30256000004</v>
      </c>
      <c r="I130" s="18">
        <f>I131</f>
        <v>354561.59689000004</v>
      </c>
      <c r="J130" s="18">
        <f t="shared" si="60"/>
        <v>354561.59689000004</v>
      </c>
      <c r="K130" s="18">
        <f t="shared" si="60"/>
        <v>338535.70923000004</v>
      </c>
      <c r="L130" s="18">
        <f t="shared" si="60"/>
        <v>317495.58811999997</v>
      </c>
      <c r="M130" s="51">
        <f t="shared" si="49"/>
        <v>1.5502329584868859</v>
      </c>
      <c r="N130" s="43">
        <f t="shared" si="29"/>
        <v>0.93784962550079032</v>
      </c>
      <c r="O130" s="52" t="s">
        <v>276</v>
      </c>
    </row>
    <row r="131" spans="1:15" ht="63.75" thickBot="1" x14ac:dyDescent="0.3">
      <c r="A131" s="53" t="s">
        <v>187</v>
      </c>
      <c r="B131" s="54" t="s">
        <v>186</v>
      </c>
      <c r="C131" s="16">
        <v>204805.08196000001</v>
      </c>
      <c r="D131" s="16">
        <f>C131+9000</f>
        <v>213805.08196000001</v>
      </c>
      <c r="E131" s="16">
        <f>D131+1229.60974</f>
        <v>215034.69170000002</v>
      </c>
      <c r="F131" s="16">
        <f>E131-27426.55779</f>
        <v>187608.13391000003</v>
      </c>
      <c r="G131" s="16">
        <f>F131+134233.16865</f>
        <v>321841.30256000004</v>
      </c>
      <c r="H131" s="16">
        <f>G131-50000</f>
        <v>271841.30256000004</v>
      </c>
      <c r="I131" s="16">
        <f>H131+82720.29433</f>
        <v>354561.59689000004</v>
      </c>
      <c r="J131" s="16">
        <f>I131</f>
        <v>354561.59689000004</v>
      </c>
      <c r="K131" s="16">
        <f>J131-16025.88766</f>
        <v>338535.70923000004</v>
      </c>
      <c r="L131" s="16">
        <v>317495.58811999997</v>
      </c>
      <c r="M131" s="51">
        <f t="shared" si="49"/>
        <v>1.5502329584868859</v>
      </c>
      <c r="N131" s="43">
        <f t="shared" si="29"/>
        <v>0.93784962550079032</v>
      </c>
      <c r="O131" s="52" t="s">
        <v>276</v>
      </c>
    </row>
    <row r="132" spans="1:15" ht="50.25" customHeight="1" thickBot="1" x14ac:dyDescent="0.3">
      <c r="A132" s="79" t="s">
        <v>189</v>
      </c>
      <c r="B132" s="80" t="s">
        <v>188</v>
      </c>
      <c r="C132" s="27">
        <f>C133+C135+C137+C139+C141+C147+C143+C145+C149+C151</f>
        <v>690481.42479000008</v>
      </c>
      <c r="D132" s="27">
        <f>D133+D135+D137+D139+D141+D147+D143+D145+D149+D151</f>
        <v>690481.42479000008</v>
      </c>
      <c r="E132" s="27">
        <f t="shared" ref="E132:L132" si="61">E133+E135+E137+E139+E141+E147+E143+E145+E149+E151</f>
        <v>692315.2546000001</v>
      </c>
      <c r="F132" s="27">
        <f t="shared" si="61"/>
        <v>692315.2546000001</v>
      </c>
      <c r="G132" s="27">
        <f t="shared" si="61"/>
        <v>758169.03052999999</v>
      </c>
      <c r="H132" s="27">
        <f t="shared" si="61"/>
        <v>868235.81135999993</v>
      </c>
      <c r="I132" s="27">
        <f t="shared" si="61"/>
        <v>875129.45535999991</v>
      </c>
      <c r="J132" s="27">
        <f t="shared" si="61"/>
        <v>874731.36932000006</v>
      </c>
      <c r="K132" s="27">
        <f t="shared" si="61"/>
        <v>873722.17395999993</v>
      </c>
      <c r="L132" s="27">
        <f t="shared" si="61"/>
        <v>867158.69144000008</v>
      </c>
      <c r="M132" s="51">
        <f t="shared" si="49"/>
        <v>1.2558754809424943</v>
      </c>
      <c r="N132" s="43">
        <f t="shared" si="29"/>
        <v>0.99248790666459574</v>
      </c>
      <c r="O132" s="52" t="s">
        <v>277</v>
      </c>
    </row>
    <row r="133" spans="1:15" ht="63.75" thickBot="1" x14ac:dyDescent="0.3">
      <c r="A133" s="61" t="s">
        <v>191</v>
      </c>
      <c r="B133" s="62" t="s">
        <v>190</v>
      </c>
      <c r="C133" s="18">
        <f t="shared" ref="C133:L133" si="62">C134</f>
        <v>602138.54079</v>
      </c>
      <c r="D133" s="18">
        <f t="shared" si="62"/>
        <v>602138.54079</v>
      </c>
      <c r="E133" s="18">
        <f t="shared" si="62"/>
        <v>603972.37060000002</v>
      </c>
      <c r="F133" s="18">
        <f t="shared" si="62"/>
        <v>603972.37060000002</v>
      </c>
      <c r="G133" s="18">
        <f t="shared" si="62"/>
        <v>670630.19666999998</v>
      </c>
      <c r="H133" s="18">
        <f t="shared" si="62"/>
        <v>786576.81715999998</v>
      </c>
      <c r="I133" s="18">
        <f>I134</f>
        <v>793419.33115999994</v>
      </c>
      <c r="J133" s="18">
        <f t="shared" si="62"/>
        <v>792677.91411999997</v>
      </c>
      <c r="K133" s="18">
        <f t="shared" si="62"/>
        <v>792012.04975999997</v>
      </c>
      <c r="L133" s="18">
        <f t="shared" si="62"/>
        <v>790869.38155000005</v>
      </c>
      <c r="M133" s="51">
        <f t="shared" si="49"/>
        <v>1.3134342480592374</v>
      </c>
      <c r="N133" s="43">
        <f t="shared" si="29"/>
        <v>0.9985572590589421</v>
      </c>
      <c r="O133" s="52" t="s">
        <v>277</v>
      </c>
    </row>
    <row r="134" spans="1:15" ht="46.5" thickBot="1" x14ac:dyDescent="0.3">
      <c r="A134" s="61" t="s">
        <v>193</v>
      </c>
      <c r="B134" s="62" t="s">
        <v>192</v>
      </c>
      <c r="C134" s="18">
        <v>602138.54079</v>
      </c>
      <c r="D134" s="18">
        <f>C134</f>
        <v>602138.54079</v>
      </c>
      <c r="E134" s="18">
        <f>D134+1833.82981</f>
        <v>603972.37060000002</v>
      </c>
      <c r="F134" s="18">
        <f>E134</f>
        <v>603972.37060000002</v>
      </c>
      <c r="G134" s="18">
        <f>F134+66657.82607</f>
        <v>670630.19666999998</v>
      </c>
      <c r="H134" s="18">
        <f>G134+115946.62049</f>
        <v>786576.81715999998</v>
      </c>
      <c r="I134" s="18">
        <f>H134+6842.514</f>
        <v>793419.33115999994</v>
      </c>
      <c r="J134" s="18">
        <f>I134-741.41704</f>
        <v>792677.91411999997</v>
      </c>
      <c r="K134" s="18">
        <f>I134-1407.2814</f>
        <v>792012.04975999997</v>
      </c>
      <c r="L134" s="18">
        <v>790869.38155000005</v>
      </c>
      <c r="M134" s="51">
        <f t="shared" si="49"/>
        <v>1.3134342480592374</v>
      </c>
      <c r="N134" s="43">
        <f t="shared" si="29"/>
        <v>0.9985572590589421</v>
      </c>
      <c r="O134" s="63"/>
    </row>
    <row r="135" spans="1:15" ht="91.5" thickBot="1" x14ac:dyDescent="0.3">
      <c r="A135" s="61" t="s">
        <v>195</v>
      </c>
      <c r="B135" s="62" t="s">
        <v>194</v>
      </c>
      <c r="C135" s="18">
        <f t="shared" ref="C135:L135" si="63">C136</f>
        <v>19439.39</v>
      </c>
      <c r="D135" s="18">
        <f t="shared" si="63"/>
        <v>19439.39</v>
      </c>
      <c r="E135" s="18">
        <f t="shared" si="63"/>
        <v>19439.39</v>
      </c>
      <c r="F135" s="18">
        <f t="shared" si="63"/>
        <v>19439.39</v>
      </c>
      <c r="G135" s="18">
        <f t="shared" si="63"/>
        <v>19439.39</v>
      </c>
      <c r="H135" s="18">
        <f t="shared" si="63"/>
        <v>13567.508999999998</v>
      </c>
      <c r="I135" s="18">
        <f>I136</f>
        <v>13567.508999999998</v>
      </c>
      <c r="J135" s="18">
        <f t="shared" si="63"/>
        <v>10889.933999999997</v>
      </c>
      <c r="K135" s="18">
        <f t="shared" si="63"/>
        <v>13567.508999999998</v>
      </c>
      <c r="L135" s="18">
        <f t="shared" si="63"/>
        <v>12942.57762</v>
      </c>
      <c r="M135" s="51">
        <f t="shared" si="49"/>
        <v>0.66579134530455952</v>
      </c>
      <c r="N135" s="43">
        <f t="shared" si="29"/>
        <v>0.95393912176509343</v>
      </c>
      <c r="O135" s="52" t="s">
        <v>277</v>
      </c>
    </row>
    <row r="136" spans="1:15" ht="91.5" thickBot="1" x14ac:dyDescent="0.3">
      <c r="A136" s="61" t="s">
        <v>197</v>
      </c>
      <c r="B136" s="62" t="s">
        <v>196</v>
      </c>
      <c r="C136" s="18">
        <v>19439.39</v>
      </c>
      <c r="D136" s="18">
        <f t="shared" ref="D136:I136" si="64">C136</f>
        <v>19439.39</v>
      </c>
      <c r="E136" s="18">
        <f t="shared" si="64"/>
        <v>19439.39</v>
      </c>
      <c r="F136" s="18">
        <f t="shared" si="64"/>
        <v>19439.39</v>
      </c>
      <c r="G136" s="18">
        <f t="shared" si="64"/>
        <v>19439.39</v>
      </c>
      <c r="H136" s="18">
        <f>G136-5871.881</f>
        <v>13567.508999999998</v>
      </c>
      <c r="I136" s="18">
        <f t="shared" si="64"/>
        <v>13567.508999999998</v>
      </c>
      <c r="J136" s="18">
        <f>I136-2677.575</f>
        <v>10889.933999999997</v>
      </c>
      <c r="K136" s="18">
        <f>I136</f>
        <v>13567.508999999998</v>
      </c>
      <c r="L136" s="18">
        <v>12942.57762</v>
      </c>
      <c r="M136" s="51">
        <f t="shared" si="49"/>
        <v>0.66579134530455952</v>
      </c>
      <c r="N136" s="43">
        <f t="shared" si="29"/>
        <v>0.95393912176509343</v>
      </c>
      <c r="O136" s="63"/>
    </row>
    <row r="137" spans="1:15" ht="91.5" thickBot="1" x14ac:dyDescent="0.3">
      <c r="A137" s="61" t="s">
        <v>199</v>
      </c>
      <c r="B137" s="62" t="s">
        <v>198</v>
      </c>
      <c r="C137" s="21">
        <f t="shared" ref="C137:L137" si="65">C138</f>
        <v>22360.799999999999</v>
      </c>
      <c r="D137" s="21">
        <f t="shared" si="65"/>
        <v>22360.799999999999</v>
      </c>
      <c r="E137" s="21">
        <f t="shared" si="65"/>
        <v>22360.799999999999</v>
      </c>
      <c r="F137" s="21">
        <f t="shared" si="65"/>
        <v>22360.799999999999</v>
      </c>
      <c r="G137" s="21">
        <f t="shared" si="65"/>
        <v>21516.276859999998</v>
      </c>
      <c r="H137" s="21">
        <f t="shared" si="65"/>
        <v>21508.318199999998</v>
      </c>
      <c r="I137" s="21">
        <f>I138</f>
        <v>21508.318199999998</v>
      </c>
      <c r="J137" s="21">
        <f t="shared" si="65"/>
        <v>21508.318199999998</v>
      </c>
      <c r="K137" s="21">
        <f t="shared" si="65"/>
        <v>21508.318199999998</v>
      </c>
      <c r="L137" s="21">
        <f t="shared" si="65"/>
        <v>21465.77245</v>
      </c>
      <c r="M137" s="51">
        <f t="shared" si="49"/>
        <v>0.95997336633751928</v>
      </c>
      <c r="N137" s="43">
        <f t="shared" si="29"/>
        <v>0.99802189322268831</v>
      </c>
      <c r="O137" s="52" t="s">
        <v>277</v>
      </c>
    </row>
    <row r="138" spans="1:15" ht="91.5" thickBot="1" x14ac:dyDescent="0.3">
      <c r="A138" s="61" t="s">
        <v>201</v>
      </c>
      <c r="B138" s="62" t="s">
        <v>200</v>
      </c>
      <c r="C138" s="21">
        <v>22360.799999999999</v>
      </c>
      <c r="D138" s="21">
        <f t="shared" ref="D138:J138" si="66">C138</f>
        <v>22360.799999999999</v>
      </c>
      <c r="E138" s="21">
        <f t="shared" si="66"/>
        <v>22360.799999999999</v>
      </c>
      <c r="F138" s="21">
        <f t="shared" si="66"/>
        <v>22360.799999999999</v>
      </c>
      <c r="G138" s="21">
        <f>F138-844.52314</f>
        <v>21516.276859999998</v>
      </c>
      <c r="H138" s="21">
        <f>G138-7.95866</f>
        <v>21508.318199999998</v>
      </c>
      <c r="I138" s="21">
        <f t="shared" si="66"/>
        <v>21508.318199999998</v>
      </c>
      <c r="J138" s="21">
        <f t="shared" si="66"/>
        <v>21508.318199999998</v>
      </c>
      <c r="K138" s="21">
        <f>J138</f>
        <v>21508.318199999998</v>
      </c>
      <c r="L138" s="21">
        <v>21465.77245</v>
      </c>
      <c r="M138" s="51">
        <f t="shared" si="49"/>
        <v>0.95997336633751928</v>
      </c>
      <c r="N138" s="43">
        <f t="shared" ref="N138:N169" si="67">L138/K138</f>
        <v>0.99802189322268831</v>
      </c>
      <c r="O138" s="63"/>
    </row>
    <row r="139" spans="1:15" ht="69" thickBot="1" x14ac:dyDescent="0.3">
      <c r="A139" s="61" t="s">
        <v>203</v>
      </c>
      <c r="B139" s="62" t="s">
        <v>202</v>
      </c>
      <c r="C139" s="29">
        <f t="shared" ref="C139:L139" si="68">C140</f>
        <v>10.635</v>
      </c>
      <c r="D139" s="29">
        <f t="shared" si="68"/>
        <v>10.635</v>
      </c>
      <c r="E139" s="29">
        <f t="shared" si="68"/>
        <v>10.635</v>
      </c>
      <c r="F139" s="29">
        <f t="shared" si="68"/>
        <v>10.635</v>
      </c>
      <c r="G139" s="29">
        <f t="shared" si="68"/>
        <v>10.635</v>
      </c>
      <c r="H139" s="29">
        <f t="shared" si="68"/>
        <v>10.635</v>
      </c>
      <c r="I139" s="29">
        <f>I140</f>
        <v>10.635</v>
      </c>
      <c r="J139" s="29">
        <f t="shared" si="68"/>
        <v>10.635</v>
      </c>
      <c r="K139" s="18">
        <f t="shared" si="68"/>
        <v>10.635</v>
      </c>
      <c r="L139" s="18">
        <f t="shared" si="68"/>
        <v>10.635</v>
      </c>
      <c r="M139" s="51">
        <f t="shared" si="49"/>
        <v>1</v>
      </c>
      <c r="N139" s="43">
        <f t="shared" si="67"/>
        <v>1</v>
      </c>
      <c r="O139" s="63"/>
    </row>
    <row r="140" spans="1:15" ht="80.25" thickBot="1" x14ac:dyDescent="0.3">
      <c r="A140" s="61" t="s">
        <v>205</v>
      </c>
      <c r="B140" s="62" t="s">
        <v>204</v>
      </c>
      <c r="C140" s="29">
        <v>10.635</v>
      </c>
      <c r="D140" s="29">
        <f t="shared" ref="D140:J140" si="69">C140</f>
        <v>10.635</v>
      </c>
      <c r="E140" s="29">
        <f t="shared" si="69"/>
        <v>10.635</v>
      </c>
      <c r="F140" s="29">
        <f t="shared" si="69"/>
        <v>10.635</v>
      </c>
      <c r="G140" s="29">
        <f t="shared" si="69"/>
        <v>10.635</v>
      </c>
      <c r="H140" s="29">
        <f t="shared" si="69"/>
        <v>10.635</v>
      </c>
      <c r="I140" s="29">
        <f t="shared" si="69"/>
        <v>10.635</v>
      </c>
      <c r="J140" s="29">
        <f t="shared" si="69"/>
        <v>10.635</v>
      </c>
      <c r="K140" s="18">
        <f>J140</f>
        <v>10.635</v>
      </c>
      <c r="L140" s="18">
        <v>10.635</v>
      </c>
      <c r="M140" s="51">
        <f t="shared" si="49"/>
        <v>1</v>
      </c>
      <c r="N140" s="43">
        <f t="shared" si="67"/>
        <v>1</v>
      </c>
      <c r="O140" s="63"/>
    </row>
    <row r="141" spans="1:15" ht="46.5" hidden="1" thickBot="1" x14ac:dyDescent="0.3">
      <c r="A141" s="61" t="s">
        <v>231</v>
      </c>
      <c r="B141" s="62" t="s">
        <v>232</v>
      </c>
      <c r="C141" s="18">
        <f t="shared" ref="C141:L141" si="70">C142</f>
        <v>0</v>
      </c>
      <c r="D141" s="18">
        <f t="shared" si="70"/>
        <v>0</v>
      </c>
      <c r="E141" s="18">
        <f t="shared" si="70"/>
        <v>0</v>
      </c>
      <c r="F141" s="18">
        <f t="shared" si="70"/>
        <v>0</v>
      </c>
      <c r="G141" s="18">
        <f t="shared" si="70"/>
        <v>0</v>
      </c>
      <c r="H141" s="18">
        <f t="shared" si="70"/>
        <v>0</v>
      </c>
      <c r="I141" s="18"/>
      <c r="J141" s="18">
        <f t="shared" si="70"/>
        <v>0</v>
      </c>
      <c r="K141" s="18">
        <f t="shared" si="70"/>
        <v>0</v>
      </c>
      <c r="L141" s="18">
        <f t="shared" si="70"/>
        <v>0</v>
      </c>
      <c r="M141" s="51" t="e">
        <f t="shared" si="49"/>
        <v>#DIV/0!</v>
      </c>
      <c r="N141" s="43" t="e">
        <f t="shared" si="67"/>
        <v>#DIV/0!</v>
      </c>
      <c r="O141" s="63"/>
    </row>
    <row r="142" spans="1:15" ht="57.75" hidden="1" thickBot="1" x14ac:dyDescent="0.3">
      <c r="A142" s="61" t="s">
        <v>233</v>
      </c>
      <c r="B142" s="62" t="s">
        <v>234</v>
      </c>
      <c r="C142" s="18"/>
      <c r="D142" s="18">
        <f>C142</f>
        <v>0</v>
      </c>
      <c r="E142" s="18">
        <v>0</v>
      </c>
      <c r="F142" s="18">
        <f>E142</f>
        <v>0</v>
      </c>
      <c r="G142" s="18">
        <v>0</v>
      </c>
      <c r="H142" s="18">
        <f>G142</f>
        <v>0</v>
      </c>
      <c r="I142" s="18"/>
      <c r="J142" s="18"/>
      <c r="K142" s="18"/>
      <c r="L142" s="18"/>
      <c r="M142" s="51" t="e">
        <f t="shared" si="49"/>
        <v>#DIV/0!</v>
      </c>
      <c r="N142" s="43" t="e">
        <f t="shared" si="67"/>
        <v>#DIV/0!</v>
      </c>
      <c r="O142" s="63"/>
    </row>
    <row r="143" spans="1:15" ht="80.25" thickBot="1" x14ac:dyDescent="0.3">
      <c r="A143" s="61" t="s">
        <v>243</v>
      </c>
      <c r="B143" s="62" t="s">
        <v>244</v>
      </c>
      <c r="C143" s="18">
        <f t="shared" ref="C143:L143" si="71">C144</f>
        <v>39405.15</v>
      </c>
      <c r="D143" s="18">
        <f t="shared" si="71"/>
        <v>39405.15</v>
      </c>
      <c r="E143" s="18">
        <f t="shared" si="71"/>
        <v>39405.15</v>
      </c>
      <c r="F143" s="18">
        <f t="shared" si="71"/>
        <v>39405.15</v>
      </c>
      <c r="G143" s="18">
        <f t="shared" si="71"/>
        <v>39405.15</v>
      </c>
      <c r="H143" s="18">
        <f t="shared" si="71"/>
        <v>39405.15</v>
      </c>
      <c r="I143" s="18">
        <f>I144</f>
        <v>39405.15</v>
      </c>
      <c r="J143" s="18">
        <f t="shared" si="71"/>
        <v>42411.625</v>
      </c>
      <c r="K143" s="18">
        <f t="shared" si="71"/>
        <v>39405.15</v>
      </c>
      <c r="L143" s="18">
        <f t="shared" si="71"/>
        <v>34651.812819999999</v>
      </c>
      <c r="M143" s="51">
        <f t="shared" si="49"/>
        <v>0.87937269164055964</v>
      </c>
      <c r="N143" s="43">
        <f t="shared" si="67"/>
        <v>0.87937269164055964</v>
      </c>
      <c r="O143" s="52" t="s">
        <v>277</v>
      </c>
    </row>
    <row r="144" spans="1:15" ht="80.25" thickBot="1" x14ac:dyDescent="0.3">
      <c r="A144" s="61" t="s">
        <v>243</v>
      </c>
      <c r="B144" s="62" t="s">
        <v>245</v>
      </c>
      <c r="C144" s="18">
        <v>39405.15</v>
      </c>
      <c r="D144" s="18">
        <f t="shared" ref="D144:I144" si="72">C144</f>
        <v>39405.15</v>
      </c>
      <c r="E144" s="18">
        <f t="shared" si="72"/>
        <v>39405.15</v>
      </c>
      <c r="F144" s="18">
        <f t="shared" si="72"/>
        <v>39405.15</v>
      </c>
      <c r="G144" s="18">
        <f t="shared" si="72"/>
        <v>39405.15</v>
      </c>
      <c r="H144" s="18">
        <f t="shared" si="72"/>
        <v>39405.15</v>
      </c>
      <c r="I144" s="18">
        <f t="shared" si="72"/>
        <v>39405.15</v>
      </c>
      <c r="J144" s="18">
        <f>I144+3006.475</f>
        <v>42411.625</v>
      </c>
      <c r="K144" s="18">
        <f>I144</f>
        <v>39405.15</v>
      </c>
      <c r="L144" s="18">
        <v>34651.812819999999</v>
      </c>
      <c r="M144" s="51">
        <f t="shared" si="49"/>
        <v>0.87937269164055964</v>
      </c>
      <c r="N144" s="43">
        <f t="shared" si="67"/>
        <v>0.87937269164055964</v>
      </c>
      <c r="O144" s="63"/>
    </row>
    <row r="145" spans="1:15" ht="35.25" hidden="1" thickBot="1" x14ac:dyDescent="0.3">
      <c r="A145" s="61" t="s">
        <v>259</v>
      </c>
      <c r="B145" s="62" t="s">
        <v>258</v>
      </c>
      <c r="C145" s="18">
        <f t="shared" ref="C145:L145" si="73">C146</f>
        <v>0</v>
      </c>
      <c r="D145" s="18">
        <f t="shared" si="73"/>
        <v>0</v>
      </c>
      <c r="E145" s="18">
        <f t="shared" si="73"/>
        <v>0</v>
      </c>
      <c r="F145" s="18">
        <f t="shared" si="73"/>
        <v>0</v>
      </c>
      <c r="G145" s="18">
        <f t="shared" si="73"/>
        <v>0</v>
      </c>
      <c r="H145" s="18">
        <f t="shared" si="73"/>
        <v>0</v>
      </c>
      <c r="I145" s="18"/>
      <c r="J145" s="18">
        <f t="shared" si="73"/>
        <v>0</v>
      </c>
      <c r="K145" s="18">
        <f t="shared" si="73"/>
        <v>0</v>
      </c>
      <c r="L145" s="18">
        <f t="shared" si="73"/>
        <v>0</v>
      </c>
      <c r="M145" s="51" t="e">
        <f t="shared" si="49"/>
        <v>#DIV/0!</v>
      </c>
      <c r="N145" s="43" t="e">
        <f t="shared" si="67"/>
        <v>#DIV/0!</v>
      </c>
      <c r="O145" s="63"/>
    </row>
    <row r="146" spans="1:15" ht="46.5" hidden="1" thickBot="1" x14ac:dyDescent="0.3">
      <c r="A146" s="61" t="s">
        <v>256</v>
      </c>
      <c r="B146" s="62" t="s">
        <v>257</v>
      </c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51" t="e">
        <f t="shared" si="49"/>
        <v>#DIV/0!</v>
      </c>
      <c r="N146" s="43" t="e">
        <f t="shared" si="67"/>
        <v>#DIV/0!</v>
      </c>
      <c r="O146" s="63"/>
    </row>
    <row r="147" spans="1:15" ht="35.25" thickBot="1" x14ac:dyDescent="0.3">
      <c r="A147" s="61" t="s">
        <v>207</v>
      </c>
      <c r="B147" s="62" t="s">
        <v>206</v>
      </c>
      <c r="C147" s="18">
        <f t="shared" ref="C147:L147" si="74">C148</f>
        <v>3786.1509999999998</v>
      </c>
      <c r="D147" s="18">
        <f t="shared" si="74"/>
        <v>3786.1509999999998</v>
      </c>
      <c r="E147" s="18">
        <f t="shared" si="74"/>
        <v>3786.1509999999998</v>
      </c>
      <c r="F147" s="18">
        <f t="shared" si="74"/>
        <v>3786.1509999999998</v>
      </c>
      <c r="G147" s="18">
        <f t="shared" si="74"/>
        <v>3786.1509999999998</v>
      </c>
      <c r="H147" s="18">
        <f t="shared" si="74"/>
        <v>3786.1509999999998</v>
      </c>
      <c r="I147" s="18">
        <f>I148</f>
        <v>3786.1509999999998</v>
      </c>
      <c r="J147" s="18">
        <f t="shared" si="74"/>
        <v>3800.5819999999999</v>
      </c>
      <c r="K147" s="18">
        <f t="shared" si="74"/>
        <v>3786.1509999999998</v>
      </c>
      <c r="L147" s="18">
        <f t="shared" si="74"/>
        <v>3786.1509999999998</v>
      </c>
      <c r="M147" s="51">
        <f t="shared" si="49"/>
        <v>1</v>
      </c>
      <c r="N147" s="43">
        <f t="shared" si="67"/>
        <v>1</v>
      </c>
      <c r="O147" s="63"/>
    </row>
    <row r="148" spans="1:15" ht="46.5" thickBot="1" x14ac:dyDescent="0.3">
      <c r="A148" s="61" t="s">
        <v>209</v>
      </c>
      <c r="B148" s="62" t="s">
        <v>208</v>
      </c>
      <c r="C148" s="18">
        <v>3786.1509999999998</v>
      </c>
      <c r="D148" s="18">
        <f t="shared" ref="D148:I148" si="75">C148</f>
        <v>3786.1509999999998</v>
      </c>
      <c r="E148" s="18">
        <f t="shared" si="75"/>
        <v>3786.1509999999998</v>
      </c>
      <c r="F148" s="18">
        <f t="shared" si="75"/>
        <v>3786.1509999999998</v>
      </c>
      <c r="G148" s="18">
        <f t="shared" si="75"/>
        <v>3786.1509999999998</v>
      </c>
      <c r="H148" s="18">
        <f t="shared" si="75"/>
        <v>3786.1509999999998</v>
      </c>
      <c r="I148" s="18">
        <f t="shared" si="75"/>
        <v>3786.1509999999998</v>
      </c>
      <c r="J148" s="18">
        <f>I148+14.431</f>
        <v>3800.5819999999999</v>
      </c>
      <c r="K148" s="18">
        <f>I148</f>
        <v>3786.1509999999998</v>
      </c>
      <c r="L148" s="18">
        <v>3786.1509999999998</v>
      </c>
      <c r="M148" s="51">
        <f t="shared" si="49"/>
        <v>1</v>
      </c>
      <c r="N148" s="43">
        <f t="shared" si="67"/>
        <v>1</v>
      </c>
      <c r="O148" s="63"/>
    </row>
    <row r="149" spans="1:15" ht="46.5" thickBot="1" x14ac:dyDescent="0.3">
      <c r="A149" s="61" t="s">
        <v>262</v>
      </c>
      <c r="B149" s="62" t="s">
        <v>263</v>
      </c>
      <c r="C149" s="18">
        <f t="shared" ref="C149:L149" si="76">C150</f>
        <v>2439.1309999999999</v>
      </c>
      <c r="D149" s="18">
        <f t="shared" si="76"/>
        <v>2439.1309999999999</v>
      </c>
      <c r="E149" s="18">
        <f t="shared" si="76"/>
        <v>2439.1309999999999</v>
      </c>
      <c r="F149" s="18">
        <f t="shared" si="76"/>
        <v>2439.1309999999999</v>
      </c>
      <c r="G149" s="18">
        <f t="shared" si="76"/>
        <v>2469.1</v>
      </c>
      <c r="H149" s="18">
        <f t="shared" si="76"/>
        <v>2469.1</v>
      </c>
      <c r="I149" s="18">
        <f>I150</f>
        <v>2506.9609999999998</v>
      </c>
      <c r="J149" s="18">
        <f t="shared" si="76"/>
        <v>2506.9609999999998</v>
      </c>
      <c r="K149" s="18">
        <f t="shared" si="76"/>
        <v>2506.9609999999998</v>
      </c>
      <c r="L149" s="18">
        <f t="shared" si="76"/>
        <v>2506.9609999999998</v>
      </c>
      <c r="M149" s="51">
        <f t="shared" si="49"/>
        <v>1.0278090844649179</v>
      </c>
      <c r="N149" s="43">
        <f t="shared" si="67"/>
        <v>1</v>
      </c>
      <c r="O149" s="63"/>
    </row>
    <row r="150" spans="1:15" ht="45.75" customHeight="1" thickBot="1" x14ac:dyDescent="0.3">
      <c r="A150" s="61" t="s">
        <v>260</v>
      </c>
      <c r="B150" s="62" t="s">
        <v>261</v>
      </c>
      <c r="C150" s="18">
        <v>2439.1309999999999</v>
      </c>
      <c r="D150" s="18">
        <f t="shared" ref="D150:J150" si="77">C150</f>
        <v>2439.1309999999999</v>
      </c>
      <c r="E150" s="18">
        <f t="shared" si="77"/>
        <v>2439.1309999999999</v>
      </c>
      <c r="F150" s="18">
        <f t="shared" si="77"/>
        <v>2439.1309999999999</v>
      </c>
      <c r="G150" s="18">
        <f>F150+29.969</f>
        <v>2469.1</v>
      </c>
      <c r="H150" s="18">
        <f t="shared" si="77"/>
        <v>2469.1</v>
      </c>
      <c r="I150" s="18">
        <f>H150+37.861</f>
        <v>2506.9609999999998</v>
      </c>
      <c r="J150" s="18">
        <f t="shared" si="77"/>
        <v>2506.9609999999998</v>
      </c>
      <c r="K150" s="18">
        <f>J150</f>
        <v>2506.9609999999998</v>
      </c>
      <c r="L150" s="18">
        <v>2506.9609999999998</v>
      </c>
      <c r="M150" s="51">
        <f t="shared" si="49"/>
        <v>1.0278090844649179</v>
      </c>
      <c r="N150" s="43">
        <f t="shared" si="67"/>
        <v>1</v>
      </c>
      <c r="O150" s="63"/>
    </row>
    <row r="151" spans="1:15" ht="45.75" customHeight="1" thickBot="1" x14ac:dyDescent="0.3">
      <c r="A151" s="61" t="s">
        <v>272</v>
      </c>
      <c r="B151" s="62" t="s">
        <v>271</v>
      </c>
      <c r="C151" s="18">
        <f>C152</f>
        <v>901.62699999999995</v>
      </c>
      <c r="D151" s="18">
        <f>C151</f>
        <v>901.62699999999995</v>
      </c>
      <c r="E151" s="18">
        <f>E152</f>
        <v>901.62699999999995</v>
      </c>
      <c r="F151" s="18">
        <f t="shared" ref="F151" si="78">E151</f>
        <v>901.62699999999995</v>
      </c>
      <c r="G151" s="18">
        <f t="shared" ref="G151:L151" si="79">G152</f>
        <v>912.13099999999997</v>
      </c>
      <c r="H151" s="18">
        <f t="shared" si="79"/>
        <v>912.13099999999997</v>
      </c>
      <c r="I151" s="18">
        <f t="shared" si="79"/>
        <v>925.4</v>
      </c>
      <c r="J151" s="18">
        <f t="shared" si="79"/>
        <v>925.4</v>
      </c>
      <c r="K151" s="18">
        <f t="shared" si="79"/>
        <v>925.4</v>
      </c>
      <c r="L151" s="18">
        <f t="shared" si="79"/>
        <v>925.4</v>
      </c>
      <c r="M151" s="51">
        <f t="shared" si="49"/>
        <v>1.0263667791669948</v>
      </c>
      <c r="N151" s="43">
        <f t="shared" si="67"/>
        <v>1</v>
      </c>
      <c r="O151" s="63"/>
    </row>
    <row r="152" spans="1:15" ht="45.75" customHeight="1" thickBot="1" x14ac:dyDescent="0.3">
      <c r="A152" s="73" t="s">
        <v>270</v>
      </c>
      <c r="B152" s="65" t="s">
        <v>273</v>
      </c>
      <c r="C152" s="19">
        <v>901.62699999999995</v>
      </c>
      <c r="D152" s="19">
        <f>C152</f>
        <v>901.62699999999995</v>
      </c>
      <c r="E152" s="19">
        <f t="shared" ref="E152:J152" si="80">D152</f>
        <v>901.62699999999995</v>
      </c>
      <c r="F152" s="19">
        <f t="shared" si="80"/>
        <v>901.62699999999995</v>
      </c>
      <c r="G152" s="19">
        <f>F152+10.504</f>
        <v>912.13099999999997</v>
      </c>
      <c r="H152" s="19">
        <f t="shared" si="80"/>
        <v>912.13099999999997</v>
      </c>
      <c r="I152" s="19">
        <f>H152+13.269</f>
        <v>925.4</v>
      </c>
      <c r="J152" s="19">
        <f t="shared" si="80"/>
        <v>925.4</v>
      </c>
      <c r="K152" s="19">
        <f>J152</f>
        <v>925.4</v>
      </c>
      <c r="L152" s="19">
        <v>925.4</v>
      </c>
      <c r="M152" s="51">
        <f t="shared" si="49"/>
        <v>1.0263667791669948</v>
      </c>
      <c r="N152" s="43">
        <f t="shared" si="67"/>
        <v>1</v>
      </c>
      <c r="O152" s="48"/>
    </row>
    <row r="153" spans="1:15" ht="115.5" customHeight="1" thickBot="1" x14ac:dyDescent="0.3">
      <c r="A153" s="73" t="s">
        <v>310</v>
      </c>
      <c r="B153" s="62" t="s">
        <v>313</v>
      </c>
      <c r="C153" s="18">
        <f>C154</f>
        <v>618.39049999999997</v>
      </c>
      <c r="D153" s="18">
        <f>D154</f>
        <v>618.39049999999997</v>
      </c>
      <c r="E153" s="18">
        <f t="shared" ref="E153:L153" si="81">E154</f>
        <v>618.39049999999997</v>
      </c>
      <c r="F153" s="18">
        <f t="shared" si="81"/>
        <v>618.39049999999997</v>
      </c>
      <c r="G153" s="18">
        <f t="shared" si="81"/>
        <v>618.39049999999997</v>
      </c>
      <c r="H153" s="18">
        <f t="shared" si="81"/>
        <v>951.98099999999999</v>
      </c>
      <c r="I153" s="18">
        <f t="shared" si="81"/>
        <v>951.98099999999999</v>
      </c>
      <c r="J153" s="18">
        <f t="shared" si="81"/>
        <v>951.98099999999999</v>
      </c>
      <c r="K153" s="18">
        <f t="shared" si="81"/>
        <v>951.98099999999999</v>
      </c>
      <c r="L153" s="18">
        <f t="shared" si="81"/>
        <v>951.98099999999999</v>
      </c>
      <c r="M153" s="51">
        <f t="shared" si="49"/>
        <v>1.5394495872753544</v>
      </c>
      <c r="N153" s="43">
        <f t="shared" si="67"/>
        <v>1</v>
      </c>
      <c r="O153" s="74"/>
    </row>
    <row r="154" spans="1:15" ht="127.5" customHeight="1" thickBot="1" x14ac:dyDescent="0.3">
      <c r="A154" s="73" t="s">
        <v>311</v>
      </c>
      <c r="B154" s="62" t="s">
        <v>312</v>
      </c>
      <c r="C154" s="18">
        <v>618.39049999999997</v>
      </c>
      <c r="D154" s="18">
        <f>C154</f>
        <v>618.39049999999997</v>
      </c>
      <c r="E154" s="18">
        <f t="shared" ref="E154:J154" si="82">D154</f>
        <v>618.39049999999997</v>
      </c>
      <c r="F154" s="18">
        <f t="shared" si="82"/>
        <v>618.39049999999997</v>
      </c>
      <c r="G154" s="18">
        <f t="shared" si="82"/>
        <v>618.39049999999997</v>
      </c>
      <c r="H154" s="18">
        <f>G154+333.5905</f>
        <v>951.98099999999999</v>
      </c>
      <c r="I154" s="18">
        <f t="shared" si="82"/>
        <v>951.98099999999999</v>
      </c>
      <c r="J154" s="18">
        <f t="shared" si="82"/>
        <v>951.98099999999999</v>
      </c>
      <c r="K154" s="18">
        <f>J154</f>
        <v>951.98099999999999</v>
      </c>
      <c r="L154" s="18">
        <v>951.98099999999999</v>
      </c>
      <c r="M154" s="51">
        <f t="shared" si="49"/>
        <v>1.5394495872753544</v>
      </c>
      <c r="N154" s="43">
        <f t="shared" si="67"/>
        <v>1</v>
      </c>
      <c r="O154" s="74"/>
    </row>
    <row r="155" spans="1:15" ht="80.25" thickBot="1" x14ac:dyDescent="0.3">
      <c r="A155" s="71" t="s">
        <v>246</v>
      </c>
      <c r="B155" s="58" t="s">
        <v>247</v>
      </c>
      <c r="C155" s="17">
        <f t="shared" ref="C155:L155" si="83">C156</f>
        <v>30303</v>
      </c>
      <c r="D155" s="17">
        <f t="shared" si="83"/>
        <v>30303</v>
      </c>
      <c r="E155" s="17">
        <f t="shared" si="83"/>
        <v>30303</v>
      </c>
      <c r="F155" s="17">
        <f t="shared" si="83"/>
        <v>30303</v>
      </c>
      <c r="G155" s="17">
        <f t="shared" si="83"/>
        <v>30303</v>
      </c>
      <c r="H155" s="17">
        <f t="shared" si="83"/>
        <v>30303</v>
      </c>
      <c r="I155" s="17">
        <f>I156</f>
        <v>30303</v>
      </c>
      <c r="J155" s="17">
        <f t="shared" si="83"/>
        <v>30303</v>
      </c>
      <c r="K155" s="17">
        <f t="shared" si="83"/>
        <v>30303</v>
      </c>
      <c r="L155" s="17">
        <f t="shared" si="83"/>
        <v>26388.667979999998</v>
      </c>
      <c r="M155" s="51">
        <f t="shared" si="49"/>
        <v>0.87082691416691416</v>
      </c>
      <c r="N155" s="43">
        <f t="shared" si="67"/>
        <v>0.87082691416691416</v>
      </c>
      <c r="O155" s="52" t="s">
        <v>340</v>
      </c>
    </row>
    <row r="156" spans="1:15" ht="91.5" thickBot="1" x14ac:dyDescent="0.3">
      <c r="A156" s="73" t="s">
        <v>248</v>
      </c>
      <c r="B156" s="62" t="s">
        <v>249</v>
      </c>
      <c r="C156" s="18">
        <v>30303</v>
      </c>
      <c r="D156" s="18">
        <f t="shared" ref="D156:J156" si="84">C156</f>
        <v>30303</v>
      </c>
      <c r="E156" s="18">
        <f t="shared" si="84"/>
        <v>30303</v>
      </c>
      <c r="F156" s="18">
        <f t="shared" si="84"/>
        <v>30303</v>
      </c>
      <c r="G156" s="18">
        <f t="shared" si="84"/>
        <v>30303</v>
      </c>
      <c r="H156" s="18">
        <f t="shared" si="84"/>
        <v>30303</v>
      </c>
      <c r="I156" s="18">
        <f t="shared" si="84"/>
        <v>30303</v>
      </c>
      <c r="J156" s="18">
        <f t="shared" si="84"/>
        <v>30303</v>
      </c>
      <c r="K156" s="18">
        <f>J156</f>
        <v>30303</v>
      </c>
      <c r="L156" s="18">
        <v>26388.667979999998</v>
      </c>
      <c r="M156" s="51">
        <f t="shared" si="49"/>
        <v>0.87082691416691416</v>
      </c>
      <c r="N156" s="43">
        <f t="shared" si="67"/>
        <v>0.87082691416691416</v>
      </c>
      <c r="O156" s="74"/>
    </row>
    <row r="157" spans="1:15" ht="121.5" hidden="1" customHeight="1" thickBot="1" x14ac:dyDescent="0.3">
      <c r="A157" s="73" t="s">
        <v>288</v>
      </c>
      <c r="B157" s="62" t="s">
        <v>290</v>
      </c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51" t="e">
        <f t="shared" si="49"/>
        <v>#DIV/0!</v>
      </c>
      <c r="N157" s="43" t="e">
        <f t="shared" si="67"/>
        <v>#DIV/0!</v>
      </c>
      <c r="O157" s="74"/>
    </row>
    <row r="158" spans="1:15" ht="121.5" hidden="1" customHeight="1" thickBot="1" x14ac:dyDescent="0.3">
      <c r="A158" s="73" t="s">
        <v>289</v>
      </c>
      <c r="B158" s="62" t="s">
        <v>291</v>
      </c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51" t="e">
        <f t="shared" si="49"/>
        <v>#DIV/0!</v>
      </c>
      <c r="N158" s="43" t="e">
        <f t="shared" si="67"/>
        <v>#DIV/0!</v>
      </c>
      <c r="O158" s="74"/>
    </row>
    <row r="159" spans="1:15" ht="121.5" customHeight="1" thickBot="1" x14ac:dyDescent="0.3">
      <c r="A159" s="73" t="s">
        <v>314</v>
      </c>
      <c r="B159" s="62" t="s">
        <v>317</v>
      </c>
      <c r="C159" s="18">
        <f>C160</f>
        <v>2551.0204100000001</v>
      </c>
      <c r="D159" s="18">
        <f>C159</f>
        <v>2551.0204100000001</v>
      </c>
      <c r="E159" s="18">
        <f t="shared" ref="E159:J159" si="85">D159</f>
        <v>2551.0204100000001</v>
      </c>
      <c r="F159" s="18">
        <f t="shared" si="85"/>
        <v>2551.0204100000001</v>
      </c>
      <c r="G159" s="18">
        <f t="shared" si="85"/>
        <v>2551.0204100000001</v>
      </c>
      <c r="H159" s="18">
        <f t="shared" si="85"/>
        <v>2551.0204100000001</v>
      </c>
      <c r="I159" s="18">
        <f t="shared" si="85"/>
        <v>2551.0204100000001</v>
      </c>
      <c r="J159" s="18">
        <f t="shared" si="85"/>
        <v>2551.0204100000001</v>
      </c>
      <c r="K159" s="18">
        <f>J159</f>
        <v>2551.0204100000001</v>
      </c>
      <c r="L159" s="18">
        <f>L160</f>
        <v>2551.0204100000001</v>
      </c>
      <c r="M159" s="51">
        <f t="shared" si="49"/>
        <v>1</v>
      </c>
      <c r="N159" s="43">
        <f t="shared" si="67"/>
        <v>1</v>
      </c>
      <c r="O159" s="74"/>
    </row>
    <row r="160" spans="1:15" ht="121.5" customHeight="1" thickBot="1" x14ac:dyDescent="0.3">
      <c r="A160" s="75" t="s">
        <v>315</v>
      </c>
      <c r="B160" s="62" t="s">
        <v>316</v>
      </c>
      <c r="C160" s="18">
        <v>2551.0204100000001</v>
      </c>
      <c r="D160" s="18">
        <f>C160</f>
        <v>2551.0204100000001</v>
      </c>
      <c r="E160" s="18">
        <f>D160</f>
        <v>2551.0204100000001</v>
      </c>
      <c r="F160" s="18">
        <f t="shared" ref="F160:J160" si="86">E160</f>
        <v>2551.0204100000001</v>
      </c>
      <c r="G160" s="18">
        <f t="shared" si="86"/>
        <v>2551.0204100000001</v>
      </c>
      <c r="H160" s="18">
        <f t="shared" si="86"/>
        <v>2551.0204100000001</v>
      </c>
      <c r="I160" s="18">
        <f t="shared" si="86"/>
        <v>2551.0204100000001</v>
      </c>
      <c r="J160" s="18">
        <f t="shared" si="86"/>
        <v>2551.0204100000001</v>
      </c>
      <c r="K160" s="18">
        <f>J160</f>
        <v>2551.0204100000001</v>
      </c>
      <c r="L160" s="18">
        <v>2551.0204100000001</v>
      </c>
      <c r="M160" s="51">
        <f t="shared" si="49"/>
        <v>1</v>
      </c>
      <c r="N160" s="43">
        <f t="shared" si="67"/>
        <v>1</v>
      </c>
      <c r="O160" s="74"/>
    </row>
    <row r="161" spans="1:15" ht="68.25" customHeight="1" thickBot="1" x14ac:dyDescent="0.3">
      <c r="A161" s="73" t="s">
        <v>265</v>
      </c>
      <c r="B161" s="62" t="s">
        <v>267</v>
      </c>
      <c r="C161" s="18">
        <f t="shared" ref="C161:L161" si="87">C162</f>
        <v>10204.081630000001</v>
      </c>
      <c r="D161" s="18">
        <f t="shared" si="87"/>
        <v>10204.081630000001</v>
      </c>
      <c r="E161" s="18">
        <f t="shared" si="87"/>
        <v>10204.081630000001</v>
      </c>
      <c r="F161" s="18">
        <f t="shared" si="87"/>
        <v>10204.081630000001</v>
      </c>
      <c r="G161" s="18">
        <f t="shared" si="87"/>
        <v>10204.081630000001</v>
      </c>
      <c r="H161" s="18">
        <f t="shared" si="87"/>
        <v>10204.081630000001</v>
      </c>
      <c r="I161" s="18">
        <f t="shared" si="87"/>
        <v>10204.081630000001</v>
      </c>
      <c r="J161" s="18">
        <f t="shared" si="87"/>
        <v>10204.081630000001</v>
      </c>
      <c r="K161" s="18">
        <f t="shared" si="87"/>
        <v>10204.081630000001</v>
      </c>
      <c r="L161" s="18">
        <f t="shared" si="87"/>
        <v>10204.081630000001</v>
      </c>
      <c r="M161" s="51">
        <f t="shared" si="49"/>
        <v>1</v>
      </c>
      <c r="N161" s="43">
        <f t="shared" si="67"/>
        <v>1</v>
      </c>
      <c r="O161" s="74"/>
    </row>
    <row r="162" spans="1:15" ht="57.75" thickBot="1" x14ac:dyDescent="0.3">
      <c r="A162" s="75" t="s">
        <v>264</v>
      </c>
      <c r="B162" s="65" t="s">
        <v>266</v>
      </c>
      <c r="C162" s="19">
        <v>10204.081630000001</v>
      </c>
      <c r="D162" s="19">
        <f>C162</f>
        <v>10204.081630000001</v>
      </c>
      <c r="E162" s="19">
        <f>D162</f>
        <v>10204.081630000001</v>
      </c>
      <c r="F162" s="19">
        <f t="shared" ref="F162:J162" si="88">E162</f>
        <v>10204.081630000001</v>
      </c>
      <c r="G162" s="19">
        <f t="shared" si="88"/>
        <v>10204.081630000001</v>
      </c>
      <c r="H162" s="19">
        <f t="shared" si="88"/>
        <v>10204.081630000001</v>
      </c>
      <c r="I162" s="19">
        <f t="shared" si="88"/>
        <v>10204.081630000001</v>
      </c>
      <c r="J162" s="19">
        <f t="shared" si="88"/>
        <v>10204.081630000001</v>
      </c>
      <c r="K162" s="19">
        <f>J162</f>
        <v>10204.081630000001</v>
      </c>
      <c r="L162" s="19">
        <v>10204.081630000001</v>
      </c>
      <c r="M162" s="51">
        <f t="shared" si="49"/>
        <v>1</v>
      </c>
      <c r="N162" s="43">
        <f t="shared" si="67"/>
        <v>1</v>
      </c>
      <c r="O162" s="76"/>
    </row>
    <row r="163" spans="1:15" ht="35.25" thickBot="1" x14ac:dyDescent="0.3">
      <c r="A163" s="73" t="s">
        <v>285</v>
      </c>
      <c r="B163" s="62" t="s">
        <v>286</v>
      </c>
      <c r="C163" s="18"/>
      <c r="D163" s="18"/>
      <c r="E163" s="18"/>
      <c r="F163" s="18"/>
      <c r="G163" s="18">
        <f>G164</f>
        <v>7000</v>
      </c>
      <c r="H163" s="18">
        <f t="shared" ref="H163:L163" si="89">H164</f>
        <v>7000</v>
      </c>
      <c r="I163" s="18">
        <f t="shared" si="89"/>
        <v>7000</v>
      </c>
      <c r="J163" s="18">
        <f t="shared" si="89"/>
        <v>7000</v>
      </c>
      <c r="K163" s="18">
        <f t="shared" si="89"/>
        <v>7000</v>
      </c>
      <c r="L163" s="18">
        <f t="shared" si="89"/>
        <v>7000</v>
      </c>
      <c r="M163" s="51" t="e">
        <f t="shared" si="49"/>
        <v>#DIV/0!</v>
      </c>
      <c r="N163" s="43">
        <f t="shared" si="67"/>
        <v>1</v>
      </c>
      <c r="O163" s="74"/>
    </row>
    <row r="164" spans="1:15" ht="46.5" thickBot="1" x14ac:dyDescent="0.3">
      <c r="A164" s="84" t="s">
        <v>285</v>
      </c>
      <c r="B164" s="67" t="s">
        <v>287</v>
      </c>
      <c r="C164" s="20"/>
      <c r="D164" s="20"/>
      <c r="E164" s="20"/>
      <c r="F164" s="20"/>
      <c r="G164" s="20">
        <v>7000</v>
      </c>
      <c r="H164" s="20">
        <v>7000</v>
      </c>
      <c r="I164" s="20">
        <v>7000</v>
      </c>
      <c r="J164" s="20">
        <v>7000</v>
      </c>
      <c r="K164" s="20">
        <v>7000</v>
      </c>
      <c r="L164" s="20">
        <v>7000</v>
      </c>
      <c r="M164" s="51" t="e">
        <f t="shared" si="49"/>
        <v>#DIV/0!</v>
      </c>
      <c r="N164" s="43">
        <f t="shared" si="67"/>
        <v>1</v>
      </c>
      <c r="O164" s="85"/>
    </row>
    <row r="165" spans="1:15" ht="57.75" thickBot="1" x14ac:dyDescent="0.3">
      <c r="A165" s="49" t="s">
        <v>211</v>
      </c>
      <c r="B165" s="50" t="s">
        <v>210</v>
      </c>
      <c r="C165" s="23">
        <v>0</v>
      </c>
      <c r="D165" s="23">
        <v>0</v>
      </c>
      <c r="E165" s="23">
        <v>0</v>
      </c>
      <c r="F165" s="23">
        <v>0</v>
      </c>
      <c r="G165" s="23">
        <v>0</v>
      </c>
      <c r="H165" s="23"/>
      <c r="I165" s="23"/>
      <c r="J165" s="23">
        <v>0</v>
      </c>
      <c r="K165" s="23">
        <v>0</v>
      </c>
      <c r="L165" s="23">
        <f>L166</f>
        <v>-13055.21133</v>
      </c>
      <c r="M165" s="51" t="e">
        <f t="shared" si="49"/>
        <v>#DIV/0!</v>
      </c>
      <c r="N165" s="43" t="e">
        <f t="shared" si="67"/>
        <v>#DIV/0!</v>
      </c>
      <c r="O165" s="52"/>
    </row>
    <row r="166" spans="1:15" ht="57.75" thickBot="1" x14ac:dyDescent="0.3">
      <c r="A166" s="61" t="s">
        <v>213</v>
      </c>
      <c r="B166" s="62" t="s">
        <v>212</v>
      </c>
      <c r="C166" s="21">
        <v>0</v>
      </c>
      <c r="D166" s="21">
        <v>0</v>
      </c>
      <c r="E166" s="21">
        <v>0</v>
      </c>
      <c r="F166" s="21">
        <v>0</v>
      </c>
      <c r="G166" s="21">
        <v>0</v>
      </c>
      <c r="H166" s="21"/>
      <c r="I166" s="21"/>
      <c r="J166" s="21">
        <v>0</v>
      </c>
      <c r="K166" s="21">
        <v>0</v>
      </c>
      <c r="L166" s="21">
        <f>L167+L169+L168</f>
        <v>-13055.21133</v>
      </c>
      <c r="M166" s="51" t="e">
        <f t="shared" si="49"/>
        <v>#DIV/0!</v>
      </c>
      <c r="N166" s="43" t="e">
        <f t="shared" si="67"/>
        <v>#DIV/0!</v>
      </c>
      <c r="O166" s="63"/>
    </row>
    <row r="167" spans="1:15" ht="57.75" thickBot="1" x14ac:dyDescent="0.3">
      <c r="A167" s="64" t="s">
        <v>303</v>
      </c>
      <c r="B167" s="65" t="s">
        <v>304</v>
      </c>
      <c r="C167" s="22"/>
      <c r="D167" s="22"/>
      <c r="E167" s="22"/>
      <c r="F167" s="22"/>
      <c r="G167" s="22"/>
      <c r="H167" s="22"/>
      <c r="I167" s="22"/>
      <c r="J167" s="22"/>
      <c r="K167" s="22"/>
      <c r="L167" s="22">
        <v>-2.1044200000000002</v>
      </c>
      <c r="M167" s="51" t="e">
        <f t="shared" si="49"/>
        <v>#DIV/0!</v>
      </c>
      <c r="N167" s="43" t="e">
        <f t="shared" si="67"/>
        <v>#DIV/0!</v>
      </c>
      <c r="O167" s="48"/>
    </row>
    <row r="168" spans="1:15" ht="116.25" customHeight="1" thickBot="1" x14ac:dyDescent="0.3">
      <c r="A168" s="64" t="s">
        <v>341</v>
      </c>
      <c r="B168" s="65" t="s">
        <v>342</v>
      </c>
      <c r="C168" s="22"/>
      <c r="D168" s="22"/>
      <c r="E168" s="22"/>
      <c r="F168" s="22"/>
      <c r="G168" s="22"/>
      <c r="H168" s="22"/>
      <c r="I168" s="22"/>
      <c r="J168" s="22"/>
      <c r="K168" s="22"/>
      <c r="L168" s="22">
        <v>-12251.32302</v>
      </c>
      <c r="M168" s="51" t="e">
        <f t="shared" ref="M168" si="90">L168/C168</f>
        <v>#DIV/0!</v>
      </c>
      <c r="N168" s="43" t="e">
        <f t="shared" ref="N168" si="91">L168/K168</f>
        <v>#DIV/0!</v>
      </c>
      <c r="O168" s="48"/>
    </row>
    <row r="169" spans="1:15" ht="57.75" thickBot="1" x14ac:dyDescent="0.3">
      <c r="A169" s="53" t="s">
        <v>215</v>
      </c>
      <c r="B169" s="54" t="s">
        <v>214</v>
      </c>
      <c r="C169" s="24">
        <v>0</v>
      </c>
      <c r="D169" s="24">
        <v>0</v>
      </c>
      <c r="E169" s="24">
        <v>0</v>
      </c>
      <c r="F169" s="24">
        <v>0</v>
      </c>
      <c r="G169" s="24">
        <v>0</v>
      </c>
      <c r="H169" s="24"/>
      <c r="I169" s="24"/>
      <c r="J169" s="24">
        <v>0</v>
      </c>
      <c r="K169" s="24">
        <v>0</v>
      </c>
      <c r="L169" s="24">
        <v>-801.78389000000004</v>
      </c>
      <c r="M169" s="51" t="e">
        <f t="shared" si="49"/>
        <v>#DIV/0!</v>
      </c>
      <c r="N169" s="43" t="e">
        <f t="shared" si="67"/>
        <v>#DIV/0!</v>
      </c>
      <c r="O169" s="56"/>
    </row>
    <row r="170" spans="1:15" ht="15" customHeight="1" x14ac:dyDescent="0.25">
      <c r="A170" s="3"/>
      <c r="B170" s="3"/>
      <c r="C170" s="30"/>
      <c r="D170" s="30"/>
      <c r="E170" s="30"/>
      <c r="F170" s="30"/>
      <c r="G170" s="30"/>
      <c r="H170" s="30"/>
      <c r="I170" s="30"/>
      <c r="J170" s="30"/>
      <c r="K170" s="3"/>
      <c r="L170" s="3"/>
    </row>
  </sheetData>
  <mergeCells count="13">
    <mergeCell ref="O85:O87"/>
    <mergeCell ref="O89:O90"/>
    <mergeCell ref="O61:O62"/>
    <mergeCell ref="O67:O68"/>
    <mergeCell ref="O69:O70"/>
    <mergeCell ref="O71:O72"/>
    <mergeCell ref="O78:O83"/>
    <mergeCell ref="A2:O2"/>
    <mergeCell ref="O14:O15"/>
    <mergeCell ref="O41:O44"/>
    <mergeCell ref="O57:O58"/>
    <mergeCell ref="O59:O60"/>
    <mergeCell ref="O8:O9"/>
  </mergeCells>
  <pageMargins left="0.39374999999999999" right="0.39374999999999999" top="0.39374999999999999" bottom="0.39374999999999999" header="0.51180550000000002" footer="0.51180550000000002"/>
  <pageSetup paperSize="9" scale="4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911B6E4-3864-4C98-83E1-687D14AB08A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Irinabb</dc:creator>
  <cp:lastModifiedBy>Савощенко Валерия Владимировна</cp:lastModifiedBy>
  <cp:lastPrinted>2024-04-12T01:30:03Z</cp:lastPrinted>
  <dcterms:created xsi:type="dcterms:W3CDTF">2020-05-26T03:47:10Z</dcterms:created>
  <dcterms:modified xsi:type="dcterms:W3CDTF">2024-04-12T01:32:42Z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992_20001_0503117G_Y_12.2019...xlsx</vt:lpwstr>
  </property>
  <property fmtid="{D5CDD505-2E9C-101B-9397-08002B2CF9AE}" pid="3" name="Название отчета">
    <vt:lpwstr>992_20001_0503117G_Y_12.2019...xlsx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18.2.0.67165802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use_vl_2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